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ЗФ" sheetId="1" r:id="rId1"/>
  </sheets>
  <definedNames>
    <definedName name="_xlnm.Print_Titles" localSheetId="0">'ЗФ'!$11:$11</definedName>
    <definedName name="_xlnm.Print_Area" localSheetId="0">'ЗФ'!$A$1:$Q$107</definedName>
  </definedNames>
  <calcPr fullCalcOnLoad="1"/>
</workbook>
</file>

<file path=xl/sharedStrings.xml><?xml version="1.0" encoding="utf-8"?>
<sst xmlns="http://schemas.openxmlformats.org/spreadsheetml/2006/main" count="127" uniqueCount="121">
  <si>
    <t>Державне управління</t>
  </si>
  <si>
    <t>Освіта</t>
  </si>
  <si>
    <t xml:space="preserve">Охорона здоров"я </t>
  </si>
  <si>
    <t>Загальний фонд</t>
  </si>
  <si>
    <t>Напрям використання</t>
  </si>
  <si>
    <t>Всього по ЗАГАЛЬНОМУ ФОНДУ</t>
  </si>
  <si>
    <t>Всього по СПЕЦІАЛЬНОМУ ФОНДУ</t>
  </si>
  <si>
    <t>Спеціальний фонд</t>
  </si>
  <si>
    <t xml:space="preserve">Всього </t>
  </si>
  <si>
    <t>ЦРЛ</t>
  </si>
  <si>
    <t>ЧРЦПМСД</t>
  </si>
  <si>
    <t>Культура</t>
  </si>
  <si>
    <t>перевиконання</t>
  </si>
  <si>
    <t>Соціальний захист та соціальне забезпечення</t>
  </si>
  <si>
    <t>КТКВК - КПКВК</t>
  </si>
  <si>
    <t xml:space="preserve">За рахунок залишку на котловому рахунку </t>
  </si>
  <si>
    <t xml:space="preserve">Пропозиції розпорядника </t>
  </si>
  <si>
    <t>Додаток 2</t>
  </si>
  <si>
    <t>до пояснювальної записки</t>
  </si>
  <si>
    <t xml:space="preserve">За рахунок залишку  </t>
  </si>
  <si>
    <t>Всього:</t>
  </si>
  <si>
    <t>в т.ч.на оплату праці та енергоносії</t>
  </si>
  <si>
    <t>в т.ч.інші</t>
  </si>
  <si>
    <t>На заробітну плату з нарахуваннями</t>
  </si>
  <si>
    <t>Міжбюджетні трансферти від ОТГ</t>
  </si>
  <si>
    <t>Фізкультура і спорт</t>
  </si>
  <si>
    <t>Трансферти з держбюджету</t>
  </si>
  <si>
    <t>Оплата енергоносіїв на завершення опалювальн.періоду</t>
  </si>
  <si>
    <t>0150</t>
  </si>
  <si>
    <t>0100</t>
  </si>
  <si>
    <t>Пальне для шкіл району</t>
  </si>
  <si>
    <t>7363</t>
  </si>
  <si>
    <t xml:space="preserve">Пропозиції по змінам   до рішення  Чернігівської районної ради  від  26 грудня 2018 року  „Про районний  бюджет на 2019 рік” </t>
  </si>
  <si>
    <t>Визначено   РДА на сесію 26 лютого</t>
  </si>
  <si>
    <t xml:space="preserve">На виплату зарплати  працівникам бібліотек М.Коцюбинської ОТГ (М.Коцюбинська сел/р) </t>
  </si>
  <si>
    <t>3112</t>
  </si>
  <si>
    <t>На забезпечення служби у спрвах дітей (Киїнська с/р-6097,0 грн, Трисвятськослобідська с/р-3049,0 грн, Шестовицька с/р-509,0 грн, Редьківська с/р-329,0 грн)</t>
  </si>
  <si>
    <t>На виконання програми громадських організацій інвалідів (Трисвятськослобідська с/р-2300,0 грн, Шестовицька с/р-822,0 грн, Редьківська с/р-329,0 грн)</t>
  </si>
  <si>
    <t>На забезпечення ветеранської організації (Киїнська с/р-18625,0 грн, Трисвятськослобідська с/р-5000,0 грн, Шестовицька с/р-4779,0 грн, Редьківська с/р-3730,0 грн)</t>
  </si>
  <si>
    <t>На соціальні виплати фізичним особам (Киїнська с/р-28981,0 грн, Трисвятськослобідська с/р-22031,0 грн, Шестовицька с/р-3558,0 грн, Редьківська с/р-2544,0 грн)</t>
  </si>
  <si>
    <t>ДЮСШ "Колос" на заробітну плату тренера-викладача та на участь у виїзних змаганнях з кікбоксингу (Киїнська с/р)</t>
  </si>
  <si>
    <t>На утримання тренерів-викладачів відділення з кікбоксінгу та відділення з футболу, спортсменів та придбання спортивного інвентарю Чернігівській районній ДЮСШ ФСТ „Колос” (Ст.Білоуська с/р)</t>
  </si>
  <si>
    <t>На харчування дітей 1-4 класів  (крім пільгових категорій) для Довжицького НВК-910,0 грн, для Редьківського НВК-3168,0 грн (Мохнатинська с/р)</t>
  </si>
  <si>
    <t>На харчування дітей 1-4 класів Анисівської  ЗОШ І-ІІІ ст.(Анисівська с/р)</t>
  </si>
  <si>
    <t>Поточний ремонт приміщення їдальні Трисвятськослобідської ЗОШ І-ІІІ ст. (Трисвятськослобідська с/р)</t>
  </si>
  <si>
    <t>На харчування дітей 1-4 класів (крім пільгових категорій) для учнів Новобілоуської ЗОШ-35000,0 грн, для учнів Редьківського НВК-28000,0 грн (Н.Білоуська с/р)</t>
  </si>
  <si>
    <t>На харчування дітей 1-4 класів Слабинської ЗОШ І-ІІІ ст. (Слабинська с/р)</t>
  </si>
  <si>
    <t>На придбання медичного обладнання (аналізатора) для М.Коцюбинської амбулаторії</t>
  </si>
  <si>
    <t>На утримання Ковпитської амбулаторії ЗПСМ (придбання паливно-мастильних матеріалів, оплату енергоносіїв, виплати заробітної плати опалювачам) (Ковпитська с/р)</t>
  </si>
  <si>
    <t>На утримання районного трудового архіву (Киїнська с/р-2200,0 грн, Шестовицька с/р-1500,0 грн)</t>
  </si>
  <si>
    <t>Для ДЮСШ "Колос" (Трисвятськослобідська с/р-15000,0 грн, Киселівська-40000,0 грн)</t>
  </si>
  <si>
    <t>На харчування учнів початкових класів Халявинської ЗОШ І-ІІІ ст., які проживають на території Терехівської сільської ради (Терехівська с/р)</t>
  </si>
  <si>
    <t>На харчування дітей 1-4 класів КЗ "Седнівський НВК" (Черниська с/р)</t>
  </si>
  <si>
    <t>На отримання експертного звіту стану покрівлі Новобілоуської ЗОШ І-ІІІст та виготовлення ПКД по влаштуванню скатної покрівлі з проходженням екпертизи (Н.Білоуська с/р)</t>
  </si>
  <si>
    <t>На утримання фахівця соціальної служби (Киїнська с/р-69316,0 грн, Киселівська с/р-66196,0 грн, Н.Білоуська с/р-20000,0 грн)</t>
  </si>
  <si>
    <t>Н.Білоуському ФАПу на заробітну плату молодшій медичній сестрі (Н.Білоуська с/р)</t>
  </si>
  <si>
    <t>Залишок коштів на котловому рахунку на 01.01.2019 р. - 4 346 002,14 грн.( в т.ч. оборотна касова готівка - 100000,0 грн.), по освітній субвенції -1 212 776,11 грн., по субвенції на соц-екон.розвиток ЗФ -475 475,84 грн,  по іншим субвенціям - 155 000,0 грн, по іншим дотаціям-20 843,08 грн, по субвенції з місц.бюджету на здійсне переданих видатків у сфері охорони здоров`я за рахунок мед.субвенції з Держ.бюджету-82 119,40 грн., по субвенції за рахунок залишку коштів освітньої субвенції, що утворився на початок бюдж.періоду-7914,0 грн</t>
  </si>
  <si>
    <t xml:space="preserve"> До подальшого розгляду  на сесіях районної ради 2019 р.</t>
  </si>
  <si>
    <t>На придбання паливно-мастильних матеріалів (Гончаріська с/р-15000,0 грн, Анисівська с/р-20000,0 грн, Ковпитська с/р-10000,0 грн, Н.Білоуська с/р-10000,0 грн, Черниська с/р-10000,0 грн, Седнівська с/р-10000,0 грн)</t>
  </si>
  <si>
    <t>Седнівській амбулаторіі, Новенському ФАПу-на техобслуговування вогнегасників-700,0 грн, на перевірку  контуру заземлення та опору ізоляції -1000,0 грн.</t>
  </si>
  <si>
    <t>Капремонт котельні Рудківської ЗОШ</t>
  </si>
  <si>
    <t>Придбання дров для закінчення опалюв.сезону</t>
  </si>
  <si>
    <t>На програму підтримки обдарованої молоді</t>
  </si>
  <si>
    <t>На виплату зарплати   у зв`язку з незабезпеченістю по ЗОШ (педробітники НВК, МОП)</t>
  </si>
  <si>
    <t>На заробітну плату з нарахуваннями у зв`язку з незабезпеченістю</t>
  </si>
  <si>
    <t>Паливно-мастильні матеріали</t>
  </si>
  <si>
    <t>Медикаменти</t>
  </si>
  <si>
    <t>Харчування</t>
  </si>
  <si>
    <t>Енергоносії</t>
  </si>
  <si>
    <t>Послуги з охорони</t>
  </si>
  <si>
    <t>Лабораторні дослідження санітар.епідемілогіч.служби України</t>
  </si>
  <si>
    <t>Техобслуг. та ремонт медичного обладнання</t>
  </si>
  <si>
    <t>Зв`язок, Інтернет</t>
  </si>
  <si>
    <t>Телефони</t>
  </si>
  <si>
    <t>15 Радіоточок</t>
  </si>
  <si>
    <t>Терцентру на заробітну плату у зв`язку з незабезпеченістю</t>
  </si>
  <si>
    <t>Терцентру на енергоносії</t>
  </si>
  <si>
    <t>На виплату зарплати  працівникам бібліотек</t>
  </si>
  <si>
    <t>На оплату енегоносіїв по бібліотекам</t>
  </si>
  <si>
    <t>9150</t>
  </si>
  <si>
    <t>Дотація сільським радам (на ДНЗ-5351282,0грн, закладам культури-1550177,0 грн,сільським радам-50700,0 грн</t>
  </si>
  <si>
    <t>Продукти харчування</t>
  </si>
  <si>
    <t>Відрядження</t>
  </si>
  <si>
    <t>Терцентру на ремонт авто, комп.техніки</t>
  </si>
  <si>
    <t>Терцентру на паливо-мастльн.матеріали</t>
  </si>
  <si>
    <t>Журнали, вогнегасники,медалі, свідоцтва, господ.товари, масло, тосол, гальм.рідина, шини, аптечки, запчастини</t>
  </si>
  <si>
    <t>Видатки на утримання таборів</t>
  </si>
  <si>
    <t>Транспортні послуги</t>
  </si>
  <si>
    <t>Поточний ремонт автобусів</t>
  </si>
  <si>
    <t>Заміна лічильників</t>
  </si>
  <si>
    <t>Навчання газових операторів, та по цивільн.захисту</t>
  </si>
  <si>
    <t>Оплата екологіч.податку та за спец.використання поверхневих та підземних вод</t>
  </si>
  <si>
    <t>Заміна вікон Анисівської ЗОШ</t>
  </si>
  <si>
    <t>інші</t>
  </si>
  <si>
    <t>Капремонт котельні Роїщенської  ЗОШ ( заміна твердопаливного котла)</t>
  </si>
  <si>
    <t>Додаткові доходи  (ПДФО від 3-х ОТГ, вибори в яких не відбулися)</t>
  </si>
  <si>
    <t>Поточний ремонт каналізації Редьківського НВК</t>
  </si>
  <si>
    <t>На харчування учнів 1-4 класів (Седнівська с/р)</t>
  </si>
  <si>
    <t>Обласному бюджету на медикаментозне забезпечення населення (інсулін) (Н.Білоуська с/р-13070,0 грн, Киїнська с/р-59000,0 грн, Ст.Білоуська с/р-39380,0грн, Черниська-3473,0 грн)</t>
  </si>
  <si>
    <t>На продукти харчування</t>
  </si>
  <si>
    <t>Придбання труби для Пакульської ЗОШ</t>
  </si>
  <si>
    <t>Проведення енергоаудиту по неврологічному відділенні</t>
  </si>
  <si>
    <t>Залишок коштів освітньої субвенції на оснащення ресурсних кімнат у закладах загальної середньої освіти, де діють інклюзивні та спеціальні класи</t>
  </si>
  <si>
    <t>в т.ч. за рахунок</t>
  </si>
  <si>
    <t>БАЗОВОЇ дотації</t>
  </si>
  <si>
    <t>ОСВІТНЬОЇ СУБВЕНЦІЇ та МЕДИЧНОЇ СУБВЕНЦІЇ</t>
  </si>
  <si>
    <t>Медикаменти (дезактин), поповнення аптечок</t>
  </si>
  <si>
    <t>Оплата інших послуг (ТО трансп.засобів, чистка димарів, замір опору ізоляції, обслуговув.газов.обладнання, обслуг.протипожежного захисту, перезарядка вогнегасників,  страхування водіїв)</t>
  </si>
  <si>
    <t>Трансферти від сільських(селищних) бюджетів</t>
  </si>
  <si>
    <t>на основному рахунку+ інші субвенції+соц.-екон.розвиток</t>
  </si>
  <si>
    <t>Затверджено спільними розпорядженнями РДА та райради №1/1, №2/2</t>
  </si>
  <si>
    <t>Придбання медикаментів (за рахунок рішення Олишівської ОТГ щодо зменшення трансфертів)</t>
  </si>
  <si>
    <t>Капітальний ремонт частини приміщень будівлі по вул. Шевченка, 162 в м.Чернігові (співфінансування-14246,16 грн, залишків субвенції-475475,84 грн)</t>
  </si>
  <si>
    <t>Поточний ремонт неврологічного відділення (заміна вікон-195000,0 грн, штукатурні роботи-190000,0 грн, поточний ремонт підлоги та стін-165000,0 грн)</t>
  </si>
  <si>
    <t>На оплату енергоносіїв (М.Коцюбинська с/р-206946 грн)</t>
  </si>
  <si>
    <t>На оплату енергоносіїв (Боромиківська с/р-12500,0 грн,  Черниська с/р-14600,0 грн, Седнівська с/р-6000,0 грн)</t>
  </si>
  <si>
    <t>На оплату енергоносіїв у зв`язку з відміною виборів до 3-х новостворених ОТГ ( Киїнська с/р-26000,0 грн, Трисвятськослобідська с/р-22512,0 грн, Ст.Білоуська с/р-32000,0 грн )</t>
  </si>
  <si>
    <t>0180</t>
  </si>
  <si>
    <t>Матеріали  11.02.2019</t>
  </si>
  <si>
    <t>На виготовлення ПКД та проходження експертизи по об`єкту "Капітальний ремонт частини приміщень триповерхової будівлі головного корпусу з підвалом КЛПЗ "Чернігівська центральна районна лікарня" по вул. Шевченка, 114 в м.Чернігів"</t>
  </si>
  <si>
    <t>Співфінансування по об`єкту "Капітальний ремонт частини приміщень триповерхової будівлі головного корпусу з підвалом КЛПЗ "Чернігівська центральна районна лікарня" по  вул. Шевченка, 114 в м.Чернігів"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</si>
</sst>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?\ &quot;грн.&quot;_-;_-@_-"/>
    <numFmt numFmtId="181" formatCode="_-* #,##0\ &quot;грн.&quot;_-;\-* #,##0\ &quot;грн.&quot;_-;_-* &quot;-&quot;??\ &quot;грн.&quot;_-;_-@_-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#,##0_ ;[Red]\-#,##0\ "/>
    <numFmt numFmtId="192" formatCode="0.00_ ;[Red]\-0.00\ "/>
    <numFmt numFmtId="193" formatCode="[$-422]d\ mmmm\ yyyy&quot; р.&quot;"/>
    <numFmt numFmtId="194" formatCode="#,##0.0"/>
    <numFmt numFmtId="195" formatCode="#,##0.0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sz val="14"/>
      <name val="Times New Roman"/>
      <family val="1"/>
    </font>
    <font>
      <b/>
      <sz val="14"/>
      <color indexed="61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61"/>
      <name val="Times New Roman"/>
      <family val="1"/>
    </font>
    <font>
      <sz val="16"/>
      <color indexed="61"/>
      <name val="Times New Roman"/>
      <family val="1"/>
    </font>
    <font>
      <sz val="16"/>
      <color indexed="10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1"/>
      <name val="Times New Roman"/>
      <family val="1"/>
    </font>
    <font>
      <sz val="18"/>
      <name val="Times New Roman"/>
      <family val="1"/>
    </font>
    <font>
      <b/>
      <i/>
      <sz val="16"/>
      <name val="Times New Roman"/>
      <family val="1"/>
    </font>
    <font>
      <b/>
      <u val="single"/>
      <sz val="14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20"/>
      <name val="Times New Roman"/>
      <family val="1"/>
    </font>
    <font>
      <sz val="18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" borderId="0" applyNumberFormat="0" applyBorder="0" applyAlignment="0" applyProtection="0"/>
    <xf numFmtId="0" fontId="4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5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35" fillId="7" borderId="1" applyNumberFormat="0" applyAlignment="0" applyProtection="0"/>
    <xf numFmtId="0" fontId="36" fillId="9" borderId="2" applyNumberFormat="0" applyAlignment="0" applyProtection="0"/>
    <xf numFmtId="0" fontId="37" fillId="9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3" fillId="7" borderId="1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24" borderId="0" xfId="0" applyFont="1" applyFill="1" applyBorder="1" applyAlignment="1">
      <alignment vertical="top"/>
    </xf>
    <xf numFmtId="0" fontId="8" fillId="24" borderId="0" xfId="0" applyFont="1" applyFill="1" applyBorder="1" applyAlignment="1">
      <alignment horizontal="center" vertical="top"/>
    </xf>
    <xf numFmtId="9" fontId="8" fillId="24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182" fontId="1" fillId="0" borderId="0" xfId="0" applyNumberFormat="1" applyFont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7" borderId="10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left" vertical="top"/>
    </xf>
    <xf numFmtId="0" fontId="3" fillId="7" borderId="10" xfId="0" applyFont="1" applyFill="1" applyBorder="1" applyAlignment="1">
      <alignment vertical="top" wrapText="1"/>
    </xf>
    <xf numFmtId="0" fontId="17" fillId="0" borderId="0" xfId="0" applyFont="1" applyBorder="1" applyAlignment="1">
      <alignment horizontal="center" vertical="top"/>
    </xf>
    <xf numFmtId="0" fontId="17" fillId="24" borderId="0" xfId="0" applyFont="1" applyFill="1" applyBorder="1" applyAlignment="1">
      <alignment horizontal="center" vertical="top"/>
    </xf>
    <xf numFmtId="9" fontId="17" fillId="24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7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15" fillId="0" borderId="0" xfId="0" applyFont="1" applyFill="1" applyAlignment="1">
      <alignment vertical="top"/>
    </xf>
    <xf numFmtId="0" fontId="15" fillId="25" borderId="0" xfId="0" applyFont="1" applyFill="1" applyAlignment="1">
      <alignment vertical="top"/>
    </xf>
    <xf numFmtId="0" fontId="20" fillId="7" borderId="10" xfId="0" applyFont="1" applyFill="1" applyBorder="1" applyAlignment="1">
      <alignment vertical="top"/>
    </xf>
    <xf numFmtId="0" fontId="3" fillId="25" borderId="0" xfId="0" applyFont="1" applyFill="1" applyAlignment="1">
      <alignment vertical="top"/>
    </xf>
    <xf numFmtId="0" fontId="3" fillId="22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25" borderId="0" xfId="0" applyFont="1" applyFill="1" applyAlignment="1">
      <alignment vertical="top"/>
    </xf>
    <xf numFmtId="0" fontId="20" fillId="7" borderId="10" xfId="0" applyFont="1" applyFill="1" applyBorder="1" applyAlignment="1">
      <alignment horizontal="left" vertical="top" wrapText="1"/>
    </xf>
    <xf numFmtId="4" fontId="20" fillId="7" borderId="10" xfId="0" applyNumberFormat="1" applyFont="1" applyFill="1" applyBorder="1" applyAlignment="1">
      <alignment horizontal="center" vertical="top"/>
    </xf>
    <xf numFmtId="0" fontId="20" fillId="4" borderId="0" xfId="0" applyFont="1" applyFill="1" applyAlignment="1">
      <alignment vertical="top"/>
    </xf>
    <xf numFmtId="0" fontId="20" fillId="7" borderId="10" xfId="0" applyFont="1" applyFill="1" applyBorder="1" applyAlignment="1">
      <alignment horizontal="center" vertical="top"/>
    </xf>
    <xf numFmtId="0" fontId="20" fillId="7" borderId="10" xfId="0" applyFont="1" applyFill="1" applyBorder="1" applyAlignment="1">
      <alignment horizontal="left" vertical="top"/>
    </xf>
    <xf numFmtId="0" fontId="21" fillId="4" borderId="0" xfId="0" applyFont="1" applyFill="1" applyAlignment="1">
      <alignment horizontal="center" vertical="top"/>
    </xf>
    <xf numFmtId="0" fontId="20" fillId="7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2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4" fontId="20" fillId="0" borderId="10" xfId="0" applyNumberFormat="1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/>
    </xf>
    <xf numFmtId="194" fontId="20" fillId="0" borderId="10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26" fillId="7" borderId="10" xfId="0" applyNumberFormat="1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20" fillId="25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49" fontId="20" fillId="7" borderId="10" xfId="0" applyNumberFormat="1" applyFont="1" applyFill="1" applyBorder="1" applyAlignment="1">
      <alignment vertical="top" wrapText="1"/>
    </xf>
    <xf numFmtId="0" fontId="21" fillId="25" borderId="0" xfId="0" applyFont="1" applyFill="1" applyAlignment="1">
      <alignment vertical="top"/>
    </xf>
    <xf numFmtId="3" fontId="20" fillId="7" borderId="10" xfId="0" applyNumberFormat="1" applyFont="1" applyFill="1" applyBorder="1" applyAlignment="1">
      <alignment horizontal="center" vertical="top"/>
    </xf>
    <xf numFmtId="3" fontId="3" fillId="7" borderId="10" xfId="0" applyNumberFormat="1" applyFont="1" applyFill="1" applyBorder="1" applyAlignment="1">
      <alignment horizontal="center" vertical="top"/>
    </xf>
    <xf numFmtId="0" fontId="6" fillId="26" borderId="0" xfId="0" applyFont="1" applyFill="1" applyBorder="1" applyAlignment="1">
      <alignment horizontal="center" vertical="top"/>
    </xf>
    <xf numFmtId="0" fontId="1" fillId="26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" fontId="2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0" fontId="14" fillId="7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1" fillId="7" borderId="0" xfId="0" applyFont="1" applyFill="1" applyAlignment="1">
      <alignment vertical="top"/>
    </xf>
    <xf numFmtId="0" fontId="11" fillId="7" borderId="0" xfId="0" applyFont="1" applyFill="1" applyAlignment="1">
      <alignment vertical="top"/>
    </xf>
    <xf numFmtId="4" fontId="3" fillId="7" borderId="10" xfId="0" applyNumberFormat="1" applyFont="1" applyFill="1" applyBorder="1" applyAlignment="1">
      <alignment horizontal="center" vertical="top" wrapText="1"/>
    </xf>
    <xf numFmtId="194" fontId="20" fillId="7" borderId="10" xfId="0" applyNumberFormat="1" applyFont="1" applyFill="1" applyBorder="1" applyAlignment="1">
      <alignment horizontal="center" vertical="top"/>
    </xf>
    <xf numFmtId="194" fontId="3" fillId="7" borderId="10" xfId="0" applyNumberFormat="1" applyFont="1" applyFill="1" applyBorder="1" applyAlignment="1">
      <alignment horizontal="center" vertical="top"/>
    </xf>
    <xf numFmtId="194" fontId="23" fillId="0" borderId="10" xfId="0" applyNumberFormat="1" applyFont="1" applyFill="1" applyBorder="1" applyAlignment="1">
      <alignment horizontal="center" vertical="top"/>
    </xf>
    <xf numFmtId="194" fontId="3" fillId="7" borderId="10" xfId="0" applyNumberFormat="1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182" fontId="22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Alignment="1">
      <alignment vertical="top" wrapText="1"/>
    </xf>
    <xf numFmtId="3" fontId="3" fillId="7" borderId="10" xfId="0" applyNumberFormat="1" applyFont="1" applyFill="1" applyBorder="1" applyAlignment="1">
      <alignment horizontal="center" vertical="top" wrapText="1"/>
    </xf>
    <xf numFmtId="194" fontId="3" fillId="7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23" fillId="27" borderId="0" xfId="0" applyFont="1" applyFill="1" applyAlignment="1">
      <alignment vertical="top"/>
    </xf>
    <xf numFmtId="49" fontId="3" fillId="7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4" fontId="23" fillId="0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vertical="top"/>
    </xf>
    <xf numFmtId="194" fontId="23" fillId="0" borderId="10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194" fontId="23" fillId="0" borderId="10" xfId="0" applyNumberFormat="1" applyFont="1" applyFill="1" applyBorder="1" applyAlignment="1">
      <alignment horizontal="center" vertical="top" wrapText="1"/>
    </xf>
    <xf numFmtId="194" fontId="3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27" fillId="0" borderId="10" xfId="0" applyNumberFormat="1" applyFont="1" applyFill="1" applyBorder="1" applyAlignment="1">
      <alignment horizontal="center" vertical="top" wrapText="1"/>
    </xf>
    <xf numFmtId="4" fontId="27" fillId="0" borderId="10" xfId="0" applyNumberFormat="1" applyFont="1" applyFill="1" applyBorder="1" applyAlignment="1">
      <alignment horizontal="center" vertical="top"/>
    </xf>
    <xf numFmtId="0" fontId="20" fillId="7" borderId="14" xfId="0" applyFont="1" applyFill="1" applyBorder="1" applyAlignment="1">
      <alignment horizontal="center" vertical="top"/>
    </xf>
    <xf numFmtId="49" fontId="20" fillId="7" borderId="14" xfId="0" applyNumberFormat="1" applyFont="1" applyFill="1" applyBorder="1" applyAlignment="1">
      <alignment vertical="top" wrapText="1"/>
    </xf>
    <xf numFmtId="4" fontId="20" fillId="7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49" fontId="7" fillId="0" borderId="10" xfId="0" applyNumberFormat="1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top" wrapText="1"/>
    </xf>
    <xf numFmtId="0" fontId="15" fillId="22" borderId="10" xfId="0" applyFont="1" applyFill="1" applyBorder="1" applyAlignment="1">
      <alignment horizontal="center" vertical="top"/>
    </xf>
    <xf numFmtId="0" fontId="46" fillId="22" borderId="14" xfId="0" applyFont="1" applyFill="1" applyBorder="1" applyAlignment="1">
      <alignment horizontal="center" vertical="center" wrapText="1"/>
    </xf>
    <xf numFmtId="4" fontId="23" fillId="22" borderId="10" xfId="0" applyNumberFormat="1" applyFont="1" applyFill="1" applyBorder="1" applyAlignment="1">
      <alignment horizontal="center" vertical="top"/>
    </xf>
    <xf numFmtId="4" fontId="23" fillId="22" borderId="10" xfId="0" applyNumberFormat="1" applyFont="1" applyFill="1" applyBorder="1" applyAlignment="1">
      <alignment horizontal="center" vertical="top"/>
    </xf>
    <xf numFmtId="3" fontId="23" fillId="22" borderId="10" xfId="0" applyNumberFormat="1" applyFont="1" applyFill="1" applyBorder="1" applyAlignment="1">
      <alignment horizontal="center" vertical="top"/>
    </xf>
    <xf numFmtId="0" fontId="23" fillId="22" borderId="10" xfId="0" applyFont="1" applyFill="1" applyBorder="1" applyAlignment="1">
      <alignment horizontal="center" vertical="top"/>
    </xf>
    <xf numFmtId="0" fontId="15" fillId="22" borderId="0" xfId="0" applyFont="1" applyFill="1" applyAlignment="1">
      <alignment vertical="top"/>
    </xf>
    <xf numFmtId="194" fontId="23" fillId="22" borderId="10" xfId="0" applyNumberFormat="1" applyFont="1" applyFill="1" applyBorder="1" applyAlignment="1">
      <alignment horizontal="center" vertical="top"/>
    </xf>
    <xf numFmtId="4" fontId="23" fillId="0" borderId="10" xfId="0" applyNumberFormat="1" applyFont="1" applyFill="1" applyBorder="1" applyAlignment="1">
      <alignment vertical="top"/>
    </xf>
    <xf numFmtId="0" fontId="4" fillId="22" borderId="10" xfId="0" applyFont="1" applyFill="1" applyBorder="1" applyAlignment="1">
      <alignment horizontal="center" vertical="top"/>
    </xf>
    <xf numFmtId="0" fontId="23" fillId="22" borderId="10" xfId="0" applyFont="1" applyFill="1" applyBorder="1" applyAlignment="1">
      <alignment vertical="top" wrapText="1"/>
    </xf>
    <xf numFmtId="4" fontId="23" fillId="22" borderId="10" xfId="0" applyNumberFormat="1" applyFont="1" applyFill="1" applyBorder="1" applyAlignment="1">
      <alignment horizontal="center" vertical="top" wrapText="1"/>
    </xf>
    <xf numFmtId="3" fontId="23" fillId="22" borderId="10" xfId="0" applyNumberFormat="1" applyFont="1" applyFill="1" applyBorder="1" applyAlignment="1">
      <alignment horizontal="center" vertical="top" wrapText="1"/>
    </xf>
    <xf numFmtId="4" fontId="23" fillId="22" borderId="10" xfId="0" applyNumberFormat="1" applyFont="1" applyFill="1" applyBorder="1" applyAlignment="1">
      <alignment horizontal="center" vertical="top" wrapText="1"/>
    </xf>
    <xf numFmtId="194" fontId="23" fillId="22" borderId="10" xfId="0" applyNumberFormat="1" applyFont="1" applyFill="1" applyBorder="1" applyAlignment="1">
      <alignment horizontal="center" vertical="top" wrapText="1"/>
    </xf>
    <xf numFmtId="4" fontId="23" fillId="22" borderId="10" xfId="0" applyNumberFormat="1" applyFont="1" applyFill="1" applyBorder="1" applyAlignment="1">
      <alignment vertical="top"/>
    </xf>
    <xf numFmtId="0" fontId="14" fillId="22" borderId="0" xfId="0" applyFont="1" applyFill="1" applyAlignment="1">
      <alignment vertical="top"/>
    </xf>
    <xf numFmtId="0" fontId="23" fillId="22" borderId="10" xfId="0" applyFont="1" applyFill="1" applyBorder="1" applyAlignment="1">
      <alignment vertical="top"/>
    </xf>
    <xf numFmtId="0" fontId="46" fillId="22" borderId="10" xfId="0" applyFont="1" applyFill="1" applyBorder="1" applyAlignment="1">
      <alignment horizontal="justify" vertical="center" wrapText="1"/>
    </xf>
    <xf numFmtId="0" fontId="3" fillId="22" borderId="10" xfId="0" applyFont="1" applyFill="1" applyBorder="1" applyAlignment="1">
      <alignment horizontal="center" vertical="top"/>
    </xf>
    <xf numFmtId="0" fontId="20" fillId="22" borderId="10" xfId="0" applyFont="1" applyFill="1" applyBorder="1" applyAlignment="1">
      <alignment vertical="top" wrapText="1"/>
    </xf>
    <xf numFmtId="4" fontId="3" fillId="22" borderId="10" xfId="0" applyNumberFormat="1" applyFont="1" applyFill="1" applyBorder="1" applyAlignment="1">
      <alignment horizontal="center" vertical="top" wrapText="1"/>
    </xf>
    <xf numFmtId="4" fontId="20" fillId="22" borderId="10" xfId="0" applyNumberFormat="1" applyFont="1" applyFill="1" applyBorder="1" applyAlignment="1">
      <alignment horizontal="center" vertical="top"/>
    </xf>
    <xf numFmtId="4" fontId="3" fillId="22" borderId="10" xfId="0" applyNumberFormat="1" applyFont="1" applyFill="1" applyBorder="1" applyAlignment="1">
      <alignment horizontal="center" vertical="top" wrapText="1"/>
    </xf>
    <xf numFmtId="0" fontId="11" fillId="22" borderId="0" xfId="0" applyFont="1" applyFill="1" applyAlignment="1">
      <alignment vertical="top"/>
    </xf>
    <xf numFmtId="194" fontId="3" fillId="22" borderId="10" xfId="0" applyNumberFormat="1" applyFont="1" applyFill="1" applyBorder="1" applyAlignment="1">
      <alignment horizontal="center" vertical="top" wrapText="1"/>
    </xf>
    <xf numFmtId="0" fontId="46" fillId="22" borderId="10" xfId="0" applyFont="1" applyFill="1" applyBorder="1" applyAlignment="1">
      <alignment vertical="center" wrapText="1"/>
    </xf>
    <xf numFmtId="0" fontId="20" fillId="22" borderId="10" xfId="0" applyFont="1" applyFill="1" applyBorder="1" applyAlignment="1">
      <alignment horizontal="center" vertical="top"/>
    </xf>
    <xf numFmtId="0" fontId="21" fillId="22" borderId="0" xfId="0" applyFont="1" applyFill="1" applyAlignment="1">
      <alignment vertical="top"/>
    </xf>
    <xf numFmtId="0" fontId="46" fillId="22" borderId="14" xfId="0" applyFont="1" applyFill="1" applyBorder="1" applyAlignment="1">
      <alignment horizontal="justify" vertical="center" wrapText="1"/>
    </xf>
    <xf numFmtId="4" fontId="3" fillId="22" borderId="10" xfId="0" applyNumberFormat="1" applyFont="1" applyFill="1" applyBorder="1" applyAlignment="1">
      <alignment horizontal="center" vertical="top"/>
    </xf>
    <xf numFmtId="4" fontId="3" fillId="22" borderId="10" xfId="0" applyNumberFormat="1" applyFont="1" applyFill="1" applyBorder="1" applyAlignment="1">
      <alignment horizontal="center" vertical="top"/>
    </xf>
    <xf numFmtId="0" fontId="7" fillId="22" borderId="10" xfId="0" applyFont="1" applyFill="1" applyBorder="1" applyAlignment="1">
      <alignment horizontal="center" vertical="top"/>
    </xf>
    <xf numFmtId="0" fontId="15" fillId="22" borderId="10" xfId="0" applyNumberFormat="1" applyFont="1" applyFill="1" applyBorder="1" applyAlignment="1">
      <alignment vertical="top" wrapText="1"/>
    </xf>
    <xf numFmtId="4" fontId="15" fillId="22" borderId="10" xfId="0" applyNumberFormat="1" applyFont="1" applyFill="1" applyBorder="1" applyAlignment="1">
      <alignment horizontal="center" vertical="top"/>
    </xf>
    <xf numFmtId="4" fontId="15" fillId="22" borderId="10" xfId="0" applyNumberFormat="1" applyFont="1" applyFill="1" applyBorder="1" applyAlignment="1">
      <alignment horizontal="center" vertical="top"/>
    </xf>
    <xf numFmtId="0" fontId="9" fillId="22" borderId="0" xfId="0" applyFont="1" applyFill="1" applyAlignment="1">
      <alignment vertical="top"/>
    </xf>
    <xf numFmtId="49" fontId="4" fillId="22" borderId="10" xfId="0" applyNumberFormat="1" applyFont="1" applyFill="1" applyBorder="1" applyAlignment="1">
      <alignment horizontal="center" vertical="top"/>
    </xf>
    <xf numFmtId="0" fontId="3" fillId="22" borderId="10" xfId="0" applyNumberFormat="1" applyFont="1" applyFill="1" applyBorder="1" applyAlignment="1">
      <alignment vertical="top" wrapText="1"/>
    </xf>
    <xf numFmtId="0" fontId="15" fillId="25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22" borderId="10" xfId="0" applyFont="1" applyFill="1" applyBorder="1" applyAlignment="1">
      <alignment vertical="top"/>
    </xf>
    <xf numFmtId="0" fontId="23" fillId="27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11" fillId="22" borderId="10" xfId="0" applyFont="1" applyFill="1" applyBorder="1" applyAlignment="1">
      <alignment vertical="top"/>
    </xf>
    <xf numFmtId="0" fontId="21" fillId="22" borderId="10" xfId="0" applyFont="1" applyFill="1" applyBorder="1" applyAlignment="1">
      <alignment vertical="top"/>
    </xf>
    <xf numFmtId="0" fontId="9" fillId="22" borderId="10" xfId="0" applyFont="1" applyFill="1" applyBorder="1" applyAlignment="1">
      <alignment vertical="top"/>
    </xf>
    <xf numFmtId="0" fontId="21" fillId="7" borderId="10" xfId="0" applyFont="1" applyFill="1" applyBorder="1" applyAlignment="1">
      <alignment vertical="top"/>
    </xf>
    <xf numFmtId="0" fontId="14" fillId="7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1" fillId="27" borderId="10" xfId="0" applyFont="1" applyFill="1" applyBorder="1" applyAlignment="1">
      <alignment vertical="top"/>
    </xf>
    <xf numFmtId="0" fontId="23" fillId="0" borderId="14" xfId="0" applyFont="1" applyFill="1" applyBorder="1" applyAlignment="1">
      <alignment horizontal="center" vertical="top"/>
    </xf>
    <xf numFmtId="49" fontId="23" fillId="0" borderId="14" xfId="0" applyNumberFormat="1" applyFont="1" applyFill="1" applyBorder="1" applyAlignment="1">
      <alignment vertical="top" wrapText="1"/>
    </xf>
    <xf numFmtId="4" fontId="23" fillId="0" borderId="14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/>
    </xf>
    <xf numFmtId="0" fontId="47" fillId="0" borderId="0" xfId="0" applyFont="1" applyFill="1" applyAlignment="1">
      <alignment vertical="top"/>
    </xf>
    <xf numFmtId="0" fontId="10" fillId="22" borderId="10" xfId="0" applyFont="1" applyFill="1" applyBorder="1" applyAlignment="1">
      <alignment wrapText="1"/>
    </xf>
    <xf numFmtId="4" fontId="20" fillId="22" borderId="10" xfId="0" applyNumberFormat="1" applyFont="1" applyFill="1" applyBorder="1" applyAlignment="1">
      <alignment horizontal="center" vertical="top" wrapText="1"/>
    </xf>
    <xf numFmtId="194" fontId="20" fillId="22" borderId="10" xfId="0" applyNumberFormat="1" applyFont="1" applyFill="1" applyBorder="1" applyAlignment="1">
      <alignment horizontal="center" vertical="top"/>
    </xf>
    <xf numFmtId="4" fontId="20" fillId="22" borderId="10" xfId="0" applyNumberFormat="1" applyFont="1" applyFill="1" applyBorder="1" applyAlignment="1">
      <alignment horizontal="center" vertical="top"/>
    </xf>
    <xf numFmtId="49" fontId="3" fillId="22" borderId="10" xfId="0" applyNumberFormat="1" applyFont="1" applyFill="1" applyBorder="1" applyAlignment="1">
      <alignment horizontal="center" vertical="top"/>
    </xf>
    <xf numFmtId="194" fontId="27" fillId="0" borderId="10" xfId="0" applyNumberFormat="1" applyFont="1" applyFill="1" applyBorder="1" applyAlignment="1">
      <alignment horizontal="center" vertical="top"/>
    </xf>
    <xf numFmtId="0" fontId="19" fillId="7" borderId="1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left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10" fillId="27" borderId="12" xfId="0" applyFont="1" applyFill="1" applyBorder="1" applyAlignment="1">
      <alignment horizontal="center" vertical="top"/>
    </xf>
    <xf numFmtId="0" fontId="10" fillId="27" borderId="17" xfId="0" applyFont="1" applyFill="1" applyBorder="1" applyAlignment="1">
      <alignment horizontal="center" vertical="top"/>
    </xf>
    <xf numFmtId="0" fontId="10" fillId="27" borderId="18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view="pageBreakPreview" zoomScale="50" zoomScaleNormal="57" zoomScaleSheetLayoutView="50" zoomScalePageLayoutView="0" workbookViewId="0" topLeftCell="B61">
      <selection activeCell="D64" sqref="D64"/>
    </sheetView>
  </sheetViews>
  <sheetFormatPr defaultColWidth="9.00390625" defaultRowHeight="12.75"/>
  <cols>
    <col min="1" max="1" width="17.125" style="2" customWidth="1"/>
    <col min="2" max="2" width="74.125" style="2" customWidth="1"/>
    <col min="3" max="3" width="21.125" style="31" customWidth="1"/>
    <col min="4" max="4" width="21.625" style="31" customWidth="1"/>
    <col min="5" max="5" width="22.375" style="17" customWidth="1"/>
    <col min="6" max="6" width="0.37109375" style="17" hidden="1" customWidth="1"/>
    <col min="7" max="7" width="1.37890625" style="17" hidden="1" customWidth="1"/>
    <col min="8" max="8" width="20.75390625" style="17" customWidth="1"/>
    <col min="9" max="9" width="18.125" style="17" customWidth="1"/>
    <col min="10" max="10" width="20.25390625" style="17" customWidth="1"/>
    <col min="11" max="11" width="21.75390625" style="86" customWidth="1"/>
    <col min="12" max="12" width="20.75390625" style="17" customWidth="1"/>
    <col min="13" max="13" width="20.375" style="17" customWidth="1"/>
    <col min="14" max="14" width="21.125" style="17" customWidth="1"/>
    <col min="15" max="15" width="23.625" style="17" customWidth="1"/>
    <col min="16" max="16" width="21.125" style="2" customWidth="1"/>
    <col min="17" max="17" width="23.375" style="2" customWidth="1"/>
    <col min="18" max="16384" width="9.125" style="2" customWidth="1"/>
  </cols>
  <sheetData>
    <row r="1" spans="1:15" s="23" customFormat="1" ht="30.75" customHeight="1">
      <c r="A1" s="227" t="s">
        <v>56</v>
      </c>
      <c r="B1" s="227"/>
      <c r="C1" s="227"/>
      <c r="D1" s="227"/>
      <c r="E1" s="227"/>
      <c r="F1" s="227"/>
      <c r="G1" s="227"/>
      <c r="H1" s="227"/>
      <c r="I1" s="227"/>
      <c r="J1" s="227"/>
      <c r="K1" s="94"/>
      <c r="N1" s="23" t="s">
        <v>17</v>
      </c>
      <c r="O1" s="63"/>
    </row>
    <row r="2" spans="1:15" s="23" customFormat="1" ht="52.5" customHeight="1" thickBo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94"/>
      <c r="N2" s="23" t="s">
        <v>18</v>
      </c>
      <c r="O2" s="63"/>
    </row>
    <row r="3" spans="1:15" s="23" customFormat="1" ht="49.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94"/>
      <c r="N3" s="43" t="s">
        <v>118</v>
      </c>
      <c r="O3" s="70"/>
    </row>
    <row r="4" spans="1:15" s="23" customFormat="1" ht="21.75" customHeight="1">
      <c r="A4" s="229"/>
      <c r="B4" s="229"/>
      <c r="C4" s="229"/>
      <c r="D4" s="229"/>
      <c r="K4" s="94"/>
      <c r="O4" s="63"/>
    </row>
    <row r="5" spans="1:11" s="23" customFormat="1" ht="39.75" customHeight="1">
      <c r="A5" s="227"/>
      <c r="B5" s="227"/>
      <c r="C5" s="227"/>
      <c r="D5" s="227"/>
      <c r="K5" s="94"/>
    </row>
    <row r="6" spans="1:11" s="23" customFormat="1" ht="21" customHeight="1">
      <c r="A6" s="62"/>
      <c r="B6" s="61"/>
      <c r="C6" s="61"/>
      <c r="K6" s="94"/>
    </row>
    <row r="7" spans="1:15" s="23" customFormat="1" ht="42.75" customHeight="1">
      <c r="A7" s="228" t="s">
        <v>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</row>
    <row r="8" spans="1:17" ht="58.5" customHeight="1">
      <c r="A8" s="220" t="s">
        <v>14</v>
      </c>
      <c r="B8" s="223" t="s">
        <v>4</v>
      </c>
      <c r="C8" s="209" t="s">
        <v>16</v>
      </c>
      <c r="D8" s="209" t="s">
        <v>33</v>
      </c>
      <c r="E8" s="215" t="s">
        <v>95</v>
      </c>
      <c r="F8" s="215" t="s">
        <v>15</v>
      </c>
      <c r="G8" s="60"/>
      <c r="H8" s="215" t="s">
        <v>19</v>
      </c>
      <c r="I8" s="215"/>
      <c r="J8" s="215"/>
      <c r="K8" s="212" t="s">
        <v>108</v>
      </c>
      <c r="L8" s="209" t="s">
        <v>24</v>
      </c>
      <c r="M8" s="209" t="s">
        <v>26</v>
      </c>
      <c r="N8" s="209" t="s">
        <v>110</v>
      </c>
      <c r="O8" s="206" t="s">
        <v>57</v>
      </c>
      <c r="P8" s="226" t="s">
        <v>103</v>
      </c>
      <c r="Q8" s="226"/>
    </row>
    <row r="9" spans="1:17" ht="60.75" customHeight="1">
      <c r="A9" s="221"/>
      <c r="B9" s="224"/>
      <c r="C9" s="210"/>
      <c r="D9" s="210"/>
      <c r="E9" s="215"/>
      <c r="F9" s="215"/>
      <c r="G9" s="102" t="s">
        <v>12</v>
      </c>
      <c r="H9" s="215" t="s">
        <v>109</v>
      </c>
      <c r="I9" s="215"/>
      <c r="J9" s="215"/>
      <c r="K9" s="213"/>
      <c r="L9" s="210"/>
      <c r="M9" s="210"/>
      <c r="N9" s="210"/>
      <c r="O9" s="207"/>
      <c r="P9" s="215" t="s">
        <v>105</v>
      </c>
      <c r="Q9" s="215" t="s">
        <v>104</v>
      </c>
    </row>
    <row r="10" spans="1:17" ht="95.25" customHeight="1">
      <c r="A10" s="222"/>
      <c r="B10" s="225"/>
      <c r="C10" s="211"/>
      <c r="D10" s="211"/>
      <c r="E10" s="215"/>
      <c r="F10" s="58"/>
      <c r="G10" s="102"/>
      <c r="H10" s="60" t="s">
        <v>20</v>
      </c>
      <c r="I10" s="58" t="s">
        <v>21</v>
      </c>
      <c r="J10" s="58" t="s">
        <v>22</v>
      </c>
      <c r="K10" s="214"/>
      <c r="L10" s="211"/>
      <c r="M10" s="211"/>
      <c r="N10" s="211"/>
      <c r="O10" s="208"/>
      <c r="P10" s="215"/>
      <c r="Q10" s="215"/>
    </row>
    <row r="11" spans="1:17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9">
        <v>7</v>
      </c>
      <c r="H11" s="59">
        <v>6</v>
      </c>
      <c r="I11" s="59">
        <v>7</v>
      </c>
      <c r="J11" s="71">
        <v>8</v>
      </c>
      <c r="K11" s="87">
        <v>9</v>
      </c>
      <c r="L11" s="3">
        <v>10</v>
      </c>
      <c r="M11" s="3">
        <v>11</v>
      </c>
      <c r="N11" s="3">
        <v>12</v>
      </c>
      <c r="O11" s="3">
        <v>13</v>
      </c>
      <c r="P11" s="3">
        <v>14</v>
      </c>
      <c r="Q11" s="3">
        <v>15</v>
      </c>
    </row>
    <row r="12" spans="1:17" ht="19.5" customHeight="1">
      <c r="A12" s="217" t="s">
        <v>3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/>
      <c r="P12" s="192"/>
      <c r="Q12" s="192"/>
    </row>
    <row r="13" spans="1:17" s="45" customFormat="1" ht="27.75" customHeight="1" hidden="1">
      <c r="A13" s="24">
        <v>10000</v>
      </c>
      <c r="B13" s="25" t="s">
        <v>0</v>
      </c>
      <c r="C13" s="52">
        <f>SUM(C14:C15)</f>
        <v>0</v>
      </c>
      <c r="D13" s="52">
        <f aca="true" t="shared" si="0" ref="D13:O13">SUM(D14:D15)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177"/>
      <c r="Q13" s="177"/>
    </row>
    <row r="14" spans="1:17" s="44" customFormat="1" ht="24.75" customHeight="1" hidden="1">
      <c r="A14" s="135" t="s">
        <v>28</v>
      </c>
      <c r="B14" s="120" t="s">
        <v>23</v>
      </c>
      <c r="C14" s="76"/>
      <c r="D14" s="76">
        <f>E14+F14+G14+K14+L14+M14+J14</f>
        <v>0</v>
      </c>
      <c r="E14" s="76"/>
      <c r="F14" s="76"/>
      <c r="G14" s="76"/>
      <c r="H14" s="76">
        <f>SUM(I14:J14)</f>
        <v>0</v>
      </c>
      <c r="I14" s="76"/>
      <c r="J14" s="76"/>
      <c r="K14" s="115"/>
      <c r="L14" s="76"/>
      <c r="M14" s="76"/>
      <c r="N14" s="76"/>
      <c r="O14" s="100">
        <f>C14-D14</f>
        <v>0</v>
      </c>
      <c r="P14" s="178"/>
      <c r="Q14" s="178"/>
    </row>
    <row r="15" spans="1:17" s="44" customFormat="1" ht="24.75" customHeight="1" hidden="1">
      <c r="A15" s="135" t="s">
        <v>28</v>
      </c>
      <c r="B15" s="120" t="s">
        <v>93</v>
      </c>
      <c r="C15" s="76"/>
      <c r="D15" s="76">
        <f>E15+F15+G15+K15+L15+M15+J15</f>
        <v>0</v>
      </c>
      <c r="E15" s="76"/>
      <c r="F15" s="76"/>
      <c r="G15" s="76"/>
      <c r="H15" s="76"/>
      <c r="I15" s="76"/>
      <c r="J15" s="76"/>
      <c r="K15" s="115"/>
      <c r="L15" s="76"/>
      <c r="M15" s="76"/>
      <c r="N15" s="76"/>
      <c r="O15" s="100">
        <f>C15-D15</f>
        <v>0</v>
      </c>
      <c r="P15" s="178"/>
      <c r="Q15" s="178"/>
    </row>
    <row r="16" spans="1:17" s="47" customFormat="1" ht="22.5" customHeight="1">
      <c r="A16" s="24">
        <v>10000</v>
      </c>
      <c r="B16" s="75" t="s">
        <v>1</v>
      </c>
      <c r="C16" s="98">
        <f aca="true" t="shared" si="1" ref="C16:Q16">SUM(C17:C43)</f>
        <v>52712642</v>
      </c>
      <c r="D16" s="98">
        <f t="shared" si="1"/>
        <v>11435460</v>
      </c>
      <c r="E16" s="83">
        <f t="shared" si="1"/>
        <v>10968790</v>
      </c>
      <c r="F16" s="98">
        <f t="shared" si="1"/>
        <v>0</v>
      </c>
      <c r="G16" s="98">
        <f t="shared" si="1"/>
        <v>0</v>
      </c>
      <c r="H16" s="98">
        <f t="shared" si="1"/>
        <v>223900</v>
      </c>
      <c r="I16" s="98">
        <f t="shared" si="1"/>
        <v>120000</v>
      </c>
      <c r="J16" s="98">
        <f t="shared" si="1"/>
        <v>103900</v>
      </c>
      <c r="K16" s="98">
        <f t="shared" si="1"/>
        <v>242770</v>
      </c>
      <c r="L16" s="98">
        <f t="shared" si="1"/>
        <v>0</v>
      </c>
      <c r="M16" s="98">
        <f t="shared" si="1"/>
        <v>0</v>
      </c>
      <c r="N16" s="98">
        <f t="shared" si="1"/>
        <v>198530</v>
      </c>
      <c r="O16" s="98">
        <f t="shared" si="1"/>
        <v>41277182</v>
      </c>
      <c r="P16" s="98">
        <f t="shared" si="1"/>
        <v>33544100</v>
      </c>
      <c r="Q16" s="98">
        <f t="shared" si="1"/>
        <v>4000000</v>
      </c>
    </row>
    <row r="17" spans="1:17" s="44" customFormat="1" ht="48" customHeight="1">
      <c r="A17" s="119">
        <v>1020</v>
      </c>
      <c r="B17" s="123" t="s">
        <v>63</v>
      </c>
      <c r="C17" s="76">
        <f>33544100+5630397+4000000</f>
        <v>43174497</v>
      </c>
      <c r="D17" s="76">
        <f aca="true" t="shared" si="2" ref="D17:D25">E17+F17+G17+K17+L17+M17+J17</f>
        <v>3431280</v>
      </c>
      <c r="E17" s="76">
        <f>2907360+523920</f>
        <v>3431280</v>
      </c>
      <c r="F17" s="76"/>
      <c r="G17" s="76"/>
      <c r="H17" s="100">
        <f>SUM(I17:J17)</f>
        <v>0</v>
      </c>
      <c r="I17" s="100"/>
      <c r="J17" s="76"/>
      <c r="K17" s="115"/>
      <c r="L17" s="76"/>
      <c r="M17" s="76"/>
      <c r="N17" s="117"/>
      <c r="O17" s="100">
        <f aca="true" t="shared" si="3" ref="O17:O42">C17-D17</f>
        <v>39743217</v>
      </c>
      <c r="P17" s="178">
        <v>33544100</v>
      </c>
      <c r="Q17" s="178">
        <v>4000000</v>
      </c>
    </row>
    <row r="18" spans="1:17" s="44" customFormat="1" ht="46.5">
      <c r="A18" s="119">
        <v>1020</v>
      </c>
      <c r="B18" s="120" t="s">
        <v>27</v>
      </c>
      <c r="C18" s="76">
        <f>987710+67020+798630+2612540+908550+1533965</f>
        <v>6908415</v>
      </c>
      <c r="D18" s="76">
        <f t="shared" si="2"/>
        <v>5374450</v>
      </c>
      <c r="E18" s="116">
        <f>987710+67020+798630+2612540+908550</f>
        <v>5374450</v>
      </c>
      <c r="F18" s="76"/>
      <c r="G18" s="76"/>
      <c r="H18" s="76">
        <f>SUM(I18:J18)</f>
        <v>0</v>
      </c>
      <c r="I18" s="76"/>
      <c r="J18" s="76"/>
      <c r="K18" s="115"/>
      <c r="L18" s="76"/>
      <c r="M18" s="116"/>
      <c r="N18" s="117"/>
      <c r="O18" s="100">
        <f t="shared" si="3"/>
        <v>1533965</v>
      </c>
      <c r="P18" s="178"/>
      <c r="Q18" s="178"/>
    </row>
    <row r="19" spans="1:17" s="44" customFormat="1" ht="23.25">
      <c r="A19" s="119">
        <v>1020</v>
      </c>
      <c r="B19" s="120" t="s">
        <v>106</v>
      </c>
      <c r="C19" s="76">
        <f>29500+50000</f>
        <v>79500</v>
      </c>
      <c r="D19" s="76">
        <f t="shared" si="2"/>
        <v>79500</v>
      </c>
      <c r="E19" s="116">
        <f>29500+50000</f>
        <v>79500</v>
      </c>
      <c r="F19" s="76"/>
      <c r="G19" s="76"/>
      <c r="H19" s="76"/>
      <c r="I19" s="76"/>
      <c r="J19" s="76"/>
      <c r="K19" s="115"/>
      <c r="L19" s="76"/>
      <c r="M19" s="116"/>
      <c r="N19" s="117"/>
      <c r="O19" s="100">
        <f t="shared" si="3"/>
        <v>0</v>
      </c>
      <c r="P19" s="178"/>
      <c r="Q19" s="178"/>
    </row>
    <row r="20" spans="1:17" s="44" customFormat="1" ht="23.25">
      <c r="A20" s="119">
        <v>1020</v>
      </c>
      <c r="B20" s="120" t="s">
        <v>81</v>
      </c>
      <c r="C20" s="76">
        <v>823240</v>
      </c>
      <c r="D20" s="76">
        <f t="shared" si="2"/>
        <v>823240</v>
      </c>
      <c r="E20" s="116">
        <v>823240</v>
      </c>
      <c r="F20" s="76"/>
      <c r="G20" s="76"/>
      <c r="H20" s="76"/>
      <c r="I20" s="76"/>
      <c r="J20" s="76"/>
      <c r="K20" s="115"/>
      <c r="L20" s="76"/>
      <c r="M20" s="116"/>
      <c r="N20" s="117"/>
      <c r="O20" s="100">
        <f t="shared" si="3"/>
        <v>0</v>
      </c>
      <c r="P20" s="178"/>
      <c r="Q20" s="178"/>
    </row>
    <row r="21" spans="1:17" s="44" customFormat="1" ht="69.75">
      <c r="A21" s="119">
        <v>1020</v>
      </c>
      <c r="B21" s="120" t="s">
        <v>85</v>
      </c>
      <c r="C21" s="76">
        <f>2200+24000+16500+55000+10600+42000+3600+49400</f>
        <v>203300</v>
      </c>
      <c r="D21" s="76">
        <f t="shared" si="2"/>
        <v>203300</v>
      </c>
      <c r="E21" s="116">
        <f>2200+24000+16500+55000+10600+42000+3600+49400</f>
        <v>203300</v>
      </c>
      <c r="F21" s="76"/>
      <c r="G21" s="76"/>
      <c r="H21" s="76"/>
      <c r="I21" s="76"/>
      <c r="J21" s="76"/>
      <c r="K21" s="115"/>
      <c r="L21" s="76"/>
      <c r="M21" s="116"/>
      <c r="N21" s="117"/>
      <c r="O21" s="100">
        <f t="shared" si="3"/>
        <v>0</v>
      </c>
      <c r="P21" s="178"/>
      <c r="Q21" s="178"/>
    </row>
    <row r="22" spans="1:17" s="44" customFormat="1" ht="23.25">
      <c r="A22" s="119">
        <v>1020</v>
      </c>
      <c r="B22" s="120" t="s">
        <v>86</v>
      </c>
      <c r="C22" s="76">
        <v>41930</v>
      </c>
      <c r="D22" s="76">
        <f t="shared" si="2"/>
        <v>41930</v>
      </c>
      <c r="E22" s="116">
        <v>41930</v>
      </c>
      <c r="F22" s="76"/>
      <c r="G22" s="76"/>
      <c r="H22" s="76"/>
      <c r="I22" s="76"/>
      <c r="J22" s="76"/>
      <c r="K22" s="115"/>
      <c r="L22" s="76"/>
      <c r="M22" s="116"/>
      <c r="N22" s="117"/>
      <c r="O22" s="100">
        <f t="shared" si="3"/>
        <v>0</v>
      </c>
      <c r="P22" s="178"/>
      <c r="Q22" s="178"/>
    </row>
    <row r="23" spans="1:17" s="44" customFormat="1" ht="23.25">
      <c r="A23" s="119">
        <v>1020</v>
      </c>
      <c r="B23" s="120" t="s">
        <v>87</v>
      </c>
      <c r="C23" s="76">
        <v>150000</v>
      </c>
      <c r="D23" s="76">
        <f t="shared" si="2"/>
        <v>150000</v>
      </c>
      <c r="E23" s="116">
        <v>150000</v>
      </c>
      <c r="F23" s="76"/>
      <c r="G23" s="76"/>
      <c r="H23" s="76"/>
      <c r="I23" s="76"/>
      <c r="J23" s="76"/>
      <c r="K23" s="115"/>
      <c r="L23" s="76"/>
      <c r="M23" s="116"/>
      <c r="N23" s="117"/>
      <c r="O23" s="100">
        <f t="shared" si="3"/>
        <v>0</v>
      </c>
      <c r="P23" s="178"/>
      <c r="Q23" s="178"/>
    </row>
    <row r="24" spans="1:17" s="44" customFormat="1" ht="23.25">
      <c r="A24" s="119">
        <v>1020</v>
      </c>
      <c r="B24" s="120" t="s">
        <v>88</v>
      </c>
      <c r="C24" s="76">
        <f>50000+79000</f>
        <v>129000</v>
      </c>
      <c r="D24" s="76">
        <f t="shared" si="2"/>
        <v>129000</v>
      </c>
      <c r="E24" s="116">
        <v>129000</v>
      </c>
      <c r="F24" s="76"/>
      <c r="G24" s="76"/>
      <c r="H24" s="76"/>
      <c r="I24" s="76"/>
      <c r="J24" s="76"/>
      <c r="K24" s="115"/>
      <c r="L24" s="76"/>
      <c r="M24" s="116"/>
      <c r="N24" s="117"/>
      <c r="O24" s="100">
        <f t="shared" si="3"/>
        <v>0</v>
      </c>
      <c r="P24" s="178"/>
      <c r="Q24" s="178"/>
    </row>
    <row r="25" spans="1:17" s="44" customFormat="1" ht="28.5" customHeight="1">
      <c r="A25" s="119">
        <v>1020</v>
      </c>
      <c r="B25" s="120" t="s">
        <v>89</v>
      </c>
      <c r="C25" s="76">
        <v>38000</v>
      </c>
      <c r="D25" s="76">
        <f t="shared" si="2"/>
        <v>38000</v>
      </c>
      <c r="E25" s="116">
        <v>38000</v>
      </c>
      <c r="F25" s="76"/>
      <c r="G25" s="76"/>
      <c r="H25" s="76"/>
      <c r="I25" s="76"/>
      <c r="J25" s="76"/>
      <c r="K25" s="115"/>
      <c r="L25" s="76"/>
      <c r="M25" s="116"/>
      <c r="N25" s="117"/>
      <c r="O25" s="100">
        <f t="shared" si="3"/>
        <v>0</v>
      </c>
      <c r="P25" s="178"/>
      <c r="Q25" s="178"/>
    </row>
    <row r="26" spans="1:17" s="44" customFormat="1" ht="23.25" hidden="1">
      <c r="A26" s="119"/>
      <c r="B26" s="120"/>
      <c r="C26" s="76"/>
      <c r="D26" s="76"/>
      <c r="E26" s="116"/>
      <c r="F26" s="76"/>
      <c r="G26" s="76"/>
      <c r="H26" s="76"/>
      <c r="I26" s="76"/>
      <c r="J26" s="76"/>
      <c r="K26" s="115"/>
      <c r="L26" s="76"/>
      <c r="M26" s="116"/>
      <c r="N26" s="117"/>
      <c r="O26" s="100"/>
      <c r="P26" s="178"/>
      <c r="Q26" s="178"/>
    </row>
    <row r="27" spans="1:17" s="44" customFormat="1" ht="116.25">
      <c r="A27" s="119">
        <v>1020</v>
      </c>
      <c r="B27" s="120" t="s">
        <v>107</v>
      </c>
      <c r="C27" s="76">
        <v>176650</v>
      </c>
      <c r="D27" s="76">
        <f aca="true" t="shared" si="4" ref="D27:D32">E27+F27+G27+K27+L27+M27+J27</f>
        <v>176650</v>
      </c>
      <c r="E27" s="116">
        <v>176650</v>
      </c>
      <c r="F27" s="76"/>
      <c r="G27" s="76"/>
      <c r="H27" s="76"/>
      <c r="I27" s="76"/>
      <c r="J27" s="76"/>
      <c r="K27" s="115"/>
      <c r="L27" s="76"/>
      <c r="M27" s="116"/>
      <c r="N27" s="117"/>
      <c r="O27" s="100">
        <f t="shared" si="3"/>
        <v>0</v>
      </c>
      <c r="P27" s="178"/>
      <c r="Q27" s="178"/>
    </row>
    <row r="28" spans="1:17" s="44" customFormat="1" ht="46.5">
      <c r="A28" s="119">
        <v>1020</v>
      </c>
      <c r="B28" s="120" t="s">
        <v>90</v>
      </c>
      <c r="C28" s="76">
        <v>11760</v>
      </c>
      <c r="D28" s="76">
        <f t="shared" si="4"/>
        <v>11760</v>
      </c>
      <c r="E28" s="116">
        <v>11760</v>
      </c>
      <c r="F28" s="76"/>
      <c r="G28" s="76"/>
      <c r="H28" s="76"/>
      <c r="I28" s="76"/>
      <c r="J28" s="76"/>
      <c r="K28" s="115"/>
      <c r="L28" s="76"/>
      <c r="M28" s="116"/>
      <c r="N28" s="117"/>
      <c r="O28" s="100">
        <f t="shared" si="3"/>
        <v>0</v>
      </c>
      <c r="P28" s="178"/>
      <c r="Q28" s="178"/>
    </row>
    <row r="29" spans="1:17" s="44" customFormat="1" ht="50.25" customHeight="1">
      <c r="A29" s="119">
        <v>1020</v>
      </c>
      <c r="B29" s="120" t="s">
        <v>91</v>
      </c>
      <c r="C29" s="76">
        <v>19500</v>
      </c>
      <c r="D29" s="76">
        <f t="shared" si="4"/>
        <v>19500</v>
      </c>
      <c r="E29" s="116">
        <v>19500</v>
      </c>
      <c r="F29" s="76"/>
      <c r="G29" s="76"/>
      <c r="H29" s="76"/>
      <c r="I29" s="76"/>
      <c r="J29" s="76"/>
      <c r="K29" s="115"/>
      <c r="L29" s="76"/>
      <c r="M29" s="116"/>
      <c r="N29" s="117"/>
      <c r="O29" s="100">
        <f t="shared" si="3"/>
        <v>0</v>
      </c>
      <c r="P29" s="178"/>
      <c r="Q29" s="178"/>
    </row>
    <row r="30" spans="1:17" s="44" customFormat="1" ht="22.5" customHeight="1">
      <c r="A30" s="119">
        <v>1020</v>
      </c>
      <c r="B30" s="120" t="s">
        <v>96</v>
      </c>
      <c r="C30" s="76">
        <v>50000</v>
      </c>
      <c r="D30" s="76">
        <f t="shared" si="4"/>
        <v>50000</v>
      </c>
      <c r="E30" s="116">
        <v>50000</v>
      </c>
      <c r="F30" s="76"/>
      <c r="G30" s="76"/>
      <c r="H30" s="76"/>
      <c r="I30" s="76"/>
      <c r="J30" s="76"/>
      <c r="K30" s="115"/>
      <c r="L30" s="76"/>
      <c r="M30" s="116"/>
      <c r="N30" s="117"/>
      <c r="O30" s="100">
        <f t="shared" si="3"/>
        <v>0</v>
      </c>
      <c r="P30" s="178"/>
      <c r="Q30" s="178"/>
    </row>
    <row r="31" spans="1:17" s="44" customFormat="1" ht="23.25">
      <c r="A31" s="119">
        <v>1020</v>
      </c>
      <c r="B31" s="120" t="s">
        <v>82</v>
      </c>
      <c r="C31" s="76">
        <v>18360</v>
      </c>
      <c r="D31" s="76">
        <f t="shared" si="4"/>
        <v>18360</v>
      </c>
      <c r="E31" s="116">
        <v>18360</v>
      </c>
      <c r="F31" s="76"/>
      <c r="G31" s="76"/>
      <c r="H31" s="76"/>
      <c r="I31" s="76"/>
      <c r="J31" s="76"/>
      <c r="K31" s="115"/>
      <c r="L31" s="76"/>
      <c r="M31" s="116"/>
      <c r="N31" s="117"/>
      <c r="O31" s="100">
        <f t="shared" si="3"/>
        <v>0</v>
      </c>
      <c r="P31" s="178"/>
      <c r="Q31" s="178"/>
    </row>
    <row r="32" spans="1:17" s="44" customFormat="1" ht="23.25">
      <c r="A32" s="119">
        <v>1020</v>
      </c>
      <c r="B32" s="120" t="s">
        <v>30</v>
      </c>
      <c r="C32" s="76">
        <v>421820</v>
      </c>
      <c r="D32" s="76">
        <f t="shared" si="4"/>
        <v>421820</v>
      </c>
      <c r="E32" s="76">
        <v>421820</v>
      </c>
      <c r="F32" s="76"/>
      <c r="G32" s="76"/>
      <c r="H32" s="76">
        <f aca="true" t="shared" si="5" ref="H32:H43">SUM(I32:J32)</f>
        <v>0</v>
      </c>
      <c r="I32" s="76"/>
      <c r="J32" s="76"/>
      <c r="K32" s="115"/>
      <c r="L32" s="76"/>
      <c r="M32" s="116"/>
      <c r="N32" s="117"/>
      <c r="O32" s="100">
        <f t="shared" si="3"/>
        <v>0</v>
      </c>
      <c r="P32" s="178"/>
      <c r="Q32" s="178"/>
    </row>
    <row r="33" spans="1:17" s="44" customFormat="1" ht="23.25">
      <c r="A33" s="119">
        <v>1020</v>
      </c>
      <c r="B33" s="120" t="s">
        <v>61</v>
      </c>
      <c r="C33" s="76">
        <v>120000</v>
      </c>
      <c r="D33" s="76">
        <f>E33+F33+G33+K33+L33+M33+J33+H33</f>
        <v>120000</v>
      </c>
      <c r="E33" s="76"/>
      <c r="F33" s="76"/>
      <c r="G33" s="76"/>
      <c r="H33" s="76">
        <f t="shared" si="5"/>
        <v>120000</v>
      </c>
      <c r="I33" s="76">
        <v>120000</v>
      </c>
      <c r="J33" s="76"/>
      <c r="K33" s="115"/>
      <c r="L33" s="76"/>
      <c r="M33" s="116"/>
      <c r="N33" s="117"/>
      <c r="O33" s="76">
        <f t="shared" si="3"/>
        <v>0</v>
      </c>
      <c r="P33" s="178"/>
      <c r="Q33" s="178"/>
    </row>
    <row r="34" spans="1:17" s="44" customFormat="1" ht="23.25">
      <c r="A34" s="119">
        <v>1020</v>
      </c>
      <c r="B34" s="137" t="s">
        <v>92</v>
      </c>
      <c r="C34" s="76">
        <v>80000</v>
      </c>
      <c r="D34" s="76">
        <f aca="true" t="shared" si="6" ref="D34:D43">E34+F34+G34+K34+L34+M34+J34</f>
        <v>80000</v>
      </c>
      <c r="E34" s="76"/>
      <c r="F34" s="76"/>
      <c r="G34" s="76"/>
      <c r="H34" s="76">
        <f t="shared" si="5"/>
        <v>80000</v>
      </c>
      <c r="I34" s="76"/>
      <c r="J34" s="76">
        <v>80000</v>
      </c>
      <c r="K34" s="115"/>
      <c r="L34" s="76"/>
      <c r="M34" s="116"/>
      <c r="N34" s="117"/>
      <c r="O34" s="76">
        <f t="shared" si="3"/>
        <v>0</v>
      </c>
      <c r="P34" s="178"/>
      <c r="Q34" s="178"/>
    </row>
    <row r="35" spans="1:17" s="144" customFormat="1" ht="118.5" customHeight="1">
      <c r="A35" s="138">
        <v>1020</v>
      </c>
      <c r="B35" s="139" t="s">
        <v>42</v>
      </c>
      <c r="C35" s="140">
        <v>4078</v>
      </c>
      <c r="D35" s="140">
        <f t="shared" si="6"/>
        <v>4078</v>
      </c>
      <c r="E35" s="140"/>
      <c r="F35" s="140"/>
      <c r="G35" s="140"/>
      <c r="H35" s="140">
        <f t="shared" si="5"/>
        <v>0</v>
      </c>
      <c r="I35" s="140"/>
      <c r="J35" s="140"/>
      <c r="K35" s="141">
        <v>4078</v>
      </c>
      <c r="L35" s="140"/>
      <c r="M35" s="142"/>
      <c r="N35" s="143">
        <v>4078</v>
      </c>
      <c r="O35" s="145">
        <f t="shared" si="3"/>
        <v>0</v>
      </c>
      <c r="P35" s="179"/>
      <c r="Q35" s="179"/>
    </row>
    <row r="36" spans="1:17" s="144" customFormat="1" ht="52.5">
      <c r="A36" s="138">
        <v>1020</v>
      </c>
      <c r="B36" s="139" t="s">
        <v>43</v>
      </c>
      <c r="C36" s="140">
        <v>47740</v>
      </c>
      <c r="D36" s="140">
        <f t="shared" si="6"/>
        <v>47740</v>
      </c>
      <c r="E36" s="140"/>
      <c r="F36" s="140"/>
      <c r="G36" s="140"/>
      <c r="H36" s="140">
        <f t="shared" si="5"/>
        <v>0</v>
      </c>
      <c r="I36" s="140"/>
      <c r="J36" s="140"/>
      <c r="K36" s="141">
        <v>47740</v>
      </c>
      <c r="L36" s="140"/>
      <c r="M36" s="142"/>
      <c r="N36" s="143">
        <v>47740</v>
      </c>
      <c r="O36" s="145">
        <f t="shared" si="3"/>
        <v>0</v>
      </c>
      <c r="P36" s="179"/>
      <c r="Q36" s="179"/>
    </row>
    <row r="37" spans="1:17" s="144" customFormat="1" ht="78.75">
      <c r="A37" s="138">
        <v>1020</v>
      </c>
      <c r="B37" s="139" t="s">
        <v>44</v>
      </c>
      <c r="C37" s="140">
        <v>44312</v>
      </c>
      <c r="D37" s="140">
        <f t="shared" si="6"/>
        <v>44312</v>
      </c>
      <c r="E37" s="140"/>
      <c r="F37" s="140"/>
      <c r="G37" s="140"/>
      <c r="H37" s="140">
        <f t="shared" si="5"/>
        <v>0</v>
      </c>
      <c r="I37" s="140"/>
      <c r="J37" s="140"/>
      <c r="K37" s="141">
        <v>44312</v>
      </c>
      <c r="L37" s="140"/>
      <c r="M37" s="142"/>
      <c r="N37" s="143">
        <v>44312</v>
      </c>
      <c r="O37" s="145">
        <f t="shared" si="3"/>
        <v>0</v>
      </c>
      <c r="P37" s="179"/>
      <c r="Q37" s="179"/>
    </row>
    <row r="38" spans="1:17" s="144" customFormat="1" ht="117.75" customHeight="1">
      <c r="A38" s="138">
        <v>1020</v>
      </c>
      <c r="B38" s="139" t="s">
        <v>45</v>
      </c>
      <c r="C38" s="140">
        <v>63000</v>
      </c>
      <c r="D38" s="140">
        <f t="shared" si="6"/>
        <v>63000</v>
      </c>
      <c r="E38" s="140"/>
      <c r="F38" s="140"/>
      <c r="G38" s="140"/>
      <c r="H38" s="140">
        <f t="shared" si="5"/>
        <v>0</v>
      </c>
      <c r="I38" s="140"/>
      <c r="J38" s="140"/>
      <c r="K38" s="141">
        <v>63000</v>
      </c>
      <c r="L38" s="140"/>
      <c r="M38" s="142"/>
      <c r="N38" s="143">
        <v>63000</v>
      </c>
      <c r="O38" s="145">
        <f t="shared" si="3"/>
        <v>0</v>
      </c>
      <c r="P38" s="179"/>
      <c r="Q38" s="179"/>
    </row>
    <row r="39" spans="1:17" s="144" customFormat="1" ht="78.75">
      <c r="A39" s="138">
        <v>1020</v>
      </c>
      <c r="B39" s="139" t="s">
        <v>46</v>
      </c>
      <c r="C39" s="140">
        <v>13500</v>
      </c>
      <c r="D39" s="140">
        <f t="shared" si="6"/>
        <v>13500</v>
      </c>
      <c r="E39" s="140"/>
      <c r="F39" s="140"/>
      <c r="G39" s="140"/>
      <c r="H39" s="140">
        <f t="shared" si="5"/>
        <v>0</v>
      </c>
      <c r="I39" s="140"/>
      <c r="J39" s="140"/>
      <c r="K39" s="141">
        <v>13500</v>
      </c>
      <c r="L39" s="140"/>
      <c r="M39" s="142"/>
      <c r="N39" s="143">
        <v>13500</v>
      </c>
      <c r="O39" s="145">
        <f t="shared" si="3"/>
        <v>0</v>
      </c>
      <c r="P39" s="179"/>
      <c r="Q39" s="179"/>
    </row>
    <row r="40" spans="1:17" s="144" customFormat="1" ht="114.75" customHeight="1">
      <c r="A40" s="138">
        <v>1020</v>
      </c>
      <c r="B40" s="139" t="s">
        <v>51</v>
      </c>
      <c r="C40" s="140">
        <v>18000</v>
      </c>
      <c r="D40" s="140">
        <f t="shared" si="6"/>
        <v>18000</v>
      </c>
      <c r="E40" s="140"/>
      <c r="F40" s="140"/>
      <c r="G40" s="140"/>
      <c r="H40" s="140">
        <f t="shared" si="5"/>
        <v>0</v>
      </c>
      <c r="I40" s="140"/>
      <c r="J40" s="140"/>
      <c r="K40" s="141">
        <v>18000</v>
      </c>
      <c r="L40" s="140"/>
      <c r="M40" s="142"/>
      <c r="N40" s="143">
        <v>18000</v>
      </c>
      <c r="O40" s="145">
        <f t="shared" si="3"/>
        <v>0</v>
      </c>
      <c r="P40" s="179"/>
      <c r="Q40" s="179"/>
    </row>
    <row r="41" spans="1:17" s="44" customFormat="1" ht="60.75" customHeight="1">
      <c r="A41" s="119">
        <v>1020</v>
      </c>
      <c r="B41" s="136" t="s">
        <v>97</v>
      </c>
      <c r="C41" s="76">
        <v>44240</v>
      </c>
      <c r="D41" s="76">
        <f t="shared" si="6"/>
        <v>44240</v>
      </c>
      <c r="E41" s="76"/>
      <c r="F41" s="76"/>
      <c r="G41" s="76"/>
      <c r="H41" s="76"/>
      <c r="I41" s="76"/>
      <c r="J41" s="76"/>
      <c r="K41" s="115">
        <v>44240</v>
      </c>
      <c r="L41" s="76"/>
      <c r="M41" s="116"/>
      <c r="N41" s="117"/>
      <c r="O41" s="100">
        <f t="shared" si="3"/>
        <v>0</v>
      </c>
      <c r="P41" s="178"/>
      <c r="Q41" s="178"/>
    </row>
    <row r="42" spans="1:17" s="144" customFormat="1" ht="56.25" customHeight="1">
      <c r="A42" s="138">
        <v>1020</v>
      </c>
      <c r="B42" s="139" t="s">
        <v>52</v>
      </c>
      <c r="C42" s="140">
        <v>7900</v>
      </c>
      <c r="D42" s="140">
        <f t="shared" si="6"/>
        <v>7900</v>
      </c>
      <c r="E42" s="140"/>
      <c r="F42" s="140"/>
      <c r="G42" s="140"/>
      <c r="H42" s="140">
        <f t="shared" si="5"/>
        <v>0</v>
      </c>
      <c r="I42" s="140"/>
      <c r="J42" s="140"/>
      <c r="K42" s="141">
        <v>7900</v>
      </c>
      <c r="L42" s="140"/>
      <c r="M42" s="142"/>
      <c r="N42" s="143">
        <v>7900</v>
      </c>
      <c r="O42" s="140">
        <f t="shared" si="3"/>
        <v>0</v>
      </c>
      <c r="P42" s="179"/>
      <c r="Q42" s="179"/>
    </row>
    <row r="43" spans="1:17" s="44" customFormat="1" ht="24.75" customHeight="1">
      <c r="A43" s="119">
        <v>1150</v>
      </c>
      <c r="B43" s="120" t="s">
        <v>62</v>
      </c>
      <c r="C43" s="76">
        <v>23900</v>
      </c>
      <c r="D43" s="76">
        <f t="shared" si="6"/>
        <v>23900</v>
      </c>
      <c r="E43" s="116"/>
      <c r="F43" s="76"/>
      <c r="G43" s="76"/>
      <c r="H43" s="76">
        <f t="shared" si="5"/>
        <v>23900</v>
      </c>
      <c r="I43" s="76"/>
      <c r="J43" s="76">
        <v>23900</v>
      </c>
      <c r="K43" s="115"/>
      <c r="L43" s="76"/>
      <c r="M43" s="76"/>
      <c r="N43" s="122"/>
      <c r="O43" s="76">
        <f>C43-D43</f>
        <v>0</v>
      </c>
      <c r="P43" s="178"/>
      <c r="Q43" s="178"/>
    </row>
    <row r="44" spans="1:17" s="79" customFormat="1" ht="24" customHeight="1">
      <c r="A44" s="54">
        <v>20000</v>
      </c>
      <c r="B44" s="75" t="s">
        <v>2</v>
      </c>
      <c r="C44" s="99">
        <f aca="true" t="shared" si="7" ref="C44:Q44">C45+C60</f>
        <v>24790197</v>
      </c>
      <c r="D44" s="99">
        <f t="shared" si="7"/>
        <v>7212096</v>
      </c>
      <c r="E44" s="99">
        <f t="shared" si="7"/>
        <v>6831838</v>
      </c>
      <c r="F44" s="99">
        <f t="shared" si="7"/>
        <v>0</v>
      </c>
      <c r="G44" s="99">
        <f t="shared" si="7"/>
        <v>0</v>
      </c>
      <c r="H44" s="99">
        <f t="shared" si="7"/>
        <v>200000</v>
      </c>
      <c r="I44" s="99">
        <f t="shared" si="7"/>
        <v>200000</v>
      </c>
      <c r="J44" s="99">
        <f t="shared" si="7"/>
        <v>0</v>
      </c>
      <c r="K44" s="99">
        <f t="shared" si="7"/>
        <v>258312</v>
      </c>
      <c r="L44" s="99">
        <f t="shared" si="7"/>
        <v>-78054</v>
      </c>
      <c r="M44" s="99">
        <f t="shared" si="7"/>
        <v>0</v>
      </c>
      <c r="N44" s="99">
        <f t="shared" si="7"/>
        <v>430558</v>
      </c>
      <c r="O44" s="52">
        <f>C44-D44</f>
        <v>17578101</v>
      </c>
      <c r="P44" s="99">
        <f t="shared" si="7"/>
        <v>9686400</v>
      </c>
      <c r="Q44" s="99">
        <f t="shared" si="7"/>
        <v>1909000</v>
      </c>
    </row>
    <row r="45" spans="1:17" s="48" customFormat="1" ht="18.75" customHeight="1">
      <c r="A45" s="24">
        <v>2010</v>
      </c>
      <c r="B45" s="26" t="s">
        <v>9</v>
      </c>
      <c r="C45" s="33">
        <f aca="true" t="shared" si="8" ref="C45:L45">SUM(C46:C59)</f>
        <v>23915368</v>
      </c>
      <c r="D45" s="33">
        <f t="shared" si="8"/>
        <v>6531838</v>
      </c>
      <c r="E45" s="84">
        <f t="shared" si="8"/>
        <v>6831838</v>
      </c>
      <c r="F45" s="84">
        <f t="shared" si="8"/>
        <v>0</v>
      </c>
      <c r="G45" s="84">
        <f t="shared" si="8"/>
        <v>0</v>
      </c>
      <c r="H45" s="84">
        <f t="shared" si="8"/>
        <v>0</v>
      </c>
      <c r="I45" s="84">
        <f t="shared" si="8"/>
        <v>0</v>
      </c>
      <c r="J45" s="84">
        <f t="shared" si="8"/>
        <v>0</v>
      </c>
      <c r="K45" s="89">
        <f t="shared" si="8"/>
        <v>0</v>
      </c>
      <c r="L45" s="33">
        <f t="shared" si="8"/>
        <v>-300000</v>
      </c>
      <c r="M45" s="99">
        <f>SUM(M46:M59)</f>
        <v>0</v>
      </c>
      <c r="N45" s="99">
        <f>SUM(N46:N59)</f>
        <v>0</v>
      </c>
      <c r="O45" s="52">
        <f>C45-D45</f>
        <v>17383530</v>
      </c>
      <c r="P45" s="99">
        <f>SUM(P46:P59)</f>
        <v>9686400</v>
      </c>
      <c r="Q45" s="99">
        <f>SUM(Q46:Q59)</f>
        <v>1909000</v>
      </c>
    </row>
    <row r="46" spans="1:17" s="134" customFormat="1" ht="57.75" customHeight="1">
      <c r="A46" s="69">
        <v>2010</v>
      </c>
      <c r="B46" s="123" t="s">
        <v>64</v>
      </c>
      <c r="C46" s="92">
        <f>2481064+5253650+1909000+9686400</f>
        <v>19330114</v>
      </c>
      <c r="D46" s="76">
        <f aca="true" t="shared" si="9" ref="D46:D59">E46+F46+G46+K46+L46+M46+J46</f>
        <v>2706390</v>
      </c>
      <c r="E46" s="100">
        <f>2481064+225326</f>
        <v>2706390</v>
      </c>
      <c r="F46" s="76"/>
      <c r="G46" s="76"/>
      <c r="H46" s="100">
        <f>SUM(I46:J46)</f>
        <v>0</v>
      </c>
      <c r="I46" s="100"/>
      <c r="J46" s="76"/>
      <c r="K46" s="115"/>
      <c r="L46" s="76"/>
      <c r="M46" s="76"/>
      <c r="N46" s="121"/>
      <c r="O46" s="100">
        <f>C46-D46</f>
        <v>16623724</v>
      </c>
      <c r="P46" s="178">
        <v>9686400</v>
      </c>
      <c r="Q46" s="178">
        <v>1909000</v>
      </c>
    </row>
    <row r="47" spans="1:17" s="112" customFormat="1" ht="57" customHeight="1">
      <c r="A47" s="117">
        <v>2010</v>
      </c>
      <c r="B47" s="123" t="s">
        <v>111</v>
      </c>
      <c r="C47" s="92">
        <v>-300000</v>
      </c>
      <c r="D47" s="76">
        <f t="shared" si="9"/>
        <v>-300000</v>
      </c>
      <c r="E47" s="76"/>
      <c r="F47" s="76"/>
      <c r="G47" s="76"/>
      <c r="H47" s="76"/>
      <c r="I47" s="76"/>
      <c r="J47" s="76"/>
      <c r="K47" s="115"/>
      <c r="L47" s="116">
        <v>-300000</v>
      </c>
      <c r="M47" s="76"/>
      <c r="N47" s="121"/>
      <c r="O47" s="100">
        <f>C47-D47</f>
        <v>0</v>
      </c>
      <c r="P47" s="180"/>
      <c r="Q47" s="180"/>
    </row>
    <row r="48" spans="1:17" s="112" customFormat="1" ht="31.5" customHeight="1">
      <c r="A48" s="117">
        <v>2010</v>
      </c>
      <c r="B48" s="123" t="s">
        <v>65</v>
      </c>
      <c r="C48" s="92">
        <v>100000</v>
      </c>
      <c r="D48" s="76">
        <f t="shared" si="9"/>
        <v>100000</v>
      </c>
      <c r="E48" s="76">
        <v>100000</v>
      </c>
      <c r="F48" s="76"/>
      <c r="G48" s="76"/>
      <c r="H48" s="76"/>
      <c r="I48" s="76"/>
      <c r="J48" s="76"/>
      <c r="K48" s="115"/>
      <c r="L48" s="116"/>
      <c r="M48" s="76"/>
      <c r="N48" s="121"/>
      <c r="O48" s="100">
        <f aca="true" t="shared" si="10" ref="O48:O59">C48-D48</f>
        <v>0</v>
      </c>
      <c r="P48" s="180"/>
      <c r="Q48" s="180"/>
    </row>
    <row r="49" spans="1:17" s="112" customFormat="1" ht="25.5" customHeight="1">
      <c r="A49" s="117">
        <v>2010</v>
      </c>
      <c r="B49" s="123" t="s">
        <v>66</v>
      </c>
      <c r="C49" s="92">
        <v>780000</v>
      </c>
      <c r="D49" s="76">
        <f t="shared" si="9"/>
        <v>775000</v>
      </c>
      <c r="E49" s="76">
        <f>800000-20000-5000</f>
        <v>775000</v>
      </c>
      <c r="F49" s="76"/>
      <c r="G49" s="76"/>
      <c r="H49" s="76"/>
      <c r="I49" s="76"/>
      <c r="J49" s="76"/>
      <c r="K49" s="115"/>
      <c r="L49" s="116"/>
      <c r="M49" s="76"/>
      <c r="N49" s="121"/>
      <c r="O49" s="100">
        <f t="shared" si="10"/>
        <v>5000</v>
      </c>
      <c r="P49" s="180"/>
      <c r="Q49" s="180"/>
    </row>
    <row r="50" spans="1:17" s="112" customFormat="1" ht="27" customHeight="1">
      <c r="A50" s="117">
        <v>2010</v>
      </c>
      <c r="B50" s="123" t="s">
        <v>67</v>
      </c>
      <c r="C50" s="92">
        <v>100000</v>
      </c>
      <c r="D50" s="76">
        <f t="shared" si="9"/>
        <v>100000</v>
      </c>
      <c r="E50" s="76">
        <v>100000</v>
      </c>
      <c r="F50" s="76"/>
      <c r="G50" s="76"/>
      <c r="H50" s="76"/>
      <c r="I50" s="76"/>
      <c r="J50" s="76"/>
      <c r="K50" s="115"/>
      <c r="L50" s="116"/>
      <c r="M50" s="76"/>
      <c r="N50" s="121"/>
      <c r="O50" s="100">
        <f t="shared" si="10"/>
        <v>0</v>
      </c>
      <c r="P50" s="180"/>
      <c r="Q50" s="180"/>
    </row>
    <row r="51" spans="1:17" s="112" customFormat="1" ht="31.5" customHeight="1">
      <c r="A51" s="117">
        <v>2010</v>
      </c>
      <c r="B51" s="123" t="s">
        <v>68</v>
      </c>
      <c r="C51" s="92">
        <f>2375448+754806</f>
        <v>3130254</v>
      </c>
      <c r="D51" s="76">
        <f t="shared" si="9"/>
        <v>2375448</v>
      </c>
      <c r="E51" s="76">
        <v>2375448</v>
      </c>
      <c r="F51" s="76"/>
      <c r="G51" s="76"/>
      <c r="H51" s="76"/>
      <c r="I51" s="76"/>
      <c r="J51" s="76"/>
      <c r="K51" s="115"/>
      <c r="L51" s="116"/>
      <c r="M51" s="76"/>
      <c r="N51" s="121"/>
      <c r="O51" s="100">
        <f t="shared" si="10"/>
        <v>754806</v>
      </c>
      <c r="P51" s="180"/>
      <c r="Q51" s="180"/>
    </row>
    <row r="52" spans="1:17" s="112" customFormat="1" ht="22.5" customHeight="1">
      <c r="A52" s="117">
        <v>2010</v>
      </c>
      <c r="B52" s="123" t="s">
        <v>69</v>
      </c>
      <c r="C52" s="92">
        <v>20000</v>
      </c>
      <c r="D52" s="76">
        <f t="shared" si="9"/>
        <v>20000</v>
      </c>
      <c r="E52" s="76">
        <v>20000</v>
      </c>
      <c r="F52" s="76"/>
      <c r="G52" s="76"/>
      <c r="H52" s="76"/>
      <c r="I52" s="76"/>
      <c r="J52" s="76"/>
      <c r="K52" s="115"/>
      <c r="L52" s="116"/>
      <c r="M52" s="76"/>
      <c r="N52" s="121"/>
      <c r="O52" s="100">
        <f t="shared" si="10"/>
        <v>0</v>
      </c>
      <c r="P52" s="180"/>
      <c r="Q52" s="180"/>
    </row>
    <row r="53" spans="1:17" s="112" customFormat="1" ht="55.5" customHeight="1">
      <c r="A53" s="117">
        <v>2010</v>
      </c>
      <c r="B53" s="123" t="s">
        <v>70</v>
      </c>
      <c r="C53" s="92">
        <v>60000</v>
      </c>
      <c r="D53" s="76">
        <f t="shared" si="9"/>
        <v>60000</v>
      </c>
      <c r="E53" s="76">
        <v>60000</v>
      </c>
      <c r="F53" s="76"/>
      <c r="G53" s="76"/>
      <c r="H53" s="76"/>
      <c r="I53" s="76"/>
      <c r="J53" s="76"/>
      <c r="K53" s="115"/>
      <c r="L53" s="116"/>
      <c r="M53" s="76"/>
      <c r="N53" s="121"/>
      <c r="O53" s="100">
        <f t="shared" si="10"/>
        <v>0</v>
      </c>
      <c r="P53" s="180"/>
      <c r="Q53" s="180"/>
    </row>
    <row r="54" spans="1:17" s="112" customFormat="1" ht="31.5" customHeight="1">
      <c r="A54" s="117">
        <v>2010</v>
      </c>
      <c r="B54" s="123" t="s">
        <v>71</v>
      </c>
      <c r="C54" s="92">
        <v>50905</v>
      </c>
      <c r="D54" s="76">
        <f t="shared" si="9"/>
        <v>50905</v>
      </c>
      <c r="E54" s="76">
        <v>50905</v>
      </c>
      <c r="F54" s="76"/>
      <c r="G54" s="76"/>
      <c r="H54" s="76"/>
      <c r="I54" s="76"/>
      <c r="J54" s="76"/>
      <c r="K54" s="115"/>
      <c r="L54" s="116"/>
      <c r="M54" s="76"/>
      <c r="N54" s="121"/>
      <c r="O54" s="100">
        <f t="shared" si="10"/>
        <v>0</v>
      </c>
      <c r="P54" s="180"/>
      <c r="Q54" s="180"/>
    </row>
    <row r="55" spans="1:17" s="112" customFormat="1" ht="27" customHeight="1">
      <c r="A55" s="117">
        <v>2010</v>
      </c>
      <c r="B55" s="123" t="s">
        <v>72</v>
      </c>
      <c r="C55" s="92">
        <v>42000</v>
      </c>
      <c r="D55" s="76">
        <f t="shared" si="9"/>
        <v>42000</v>
      </c>
      <c r="E55" s="76">
        <v>42000</v>
      </c>
      <c r="F55" s="76"/>
      <c r="G55" s="76"/>
      <c r="H55" s="76"/>
      <c r="I55" s="76"/>
      <c r="J55" s="76"/>
      <c r="K55" s="115"/>
      <c r="L55" s="116"/>
      <c r="M55" s="76"/>
      <c r="N55" s="121"/>
      <c r="O55" s="100">
        <f t="shared" si="10"/>
        <v>0</v>
      </c>
      <c r="P55" s="180"/>
      <c r="Q55" s="180"/>
    </row>
    <row r="56" spans="1:17" s="112" customFormat="1" ht="27" customHeight="1">
      <c r="A56" s="117">
        <v>2010</v>
      </c>
      <c r="B56" s="123" t="s">
        <v>73</v>
      </c>
      <c r="C56" s="92">
        <v>21587</v>
      </c>
      <c r="D56" s="76">
        <f t="shared" si="9"/>
        <v>21587</v>
      </c>
      <c r="E56" s="76">
        <v>21587</v>
      </c>
      <c r="F56" s="76"/>
      <c r="G56" s="76"/>
      <c r="H56" s="76"/>
      <c r="I56" s="76"/>
      <c r="J56" s="76"/>
      <c r="K56" s="115"/>
      <c r="L56" s="116"/>
      <c r="M56" s="76"/>
      <c r="N56" s="121"/>
      <c r="O56" s="100">
        <f t="shared" si="10"/>
        <v>0</v>
      </c>
      <c r="P56" s="180"/>
      <c r="Q56" s="180"/>
    </row>
    <row r="57" spans="1:17" s="112" customFormat="1" ht="97.5" customHeight="1">
      <c r="A57" s="117">
        <v>2010</v>
      </c>
      <c r="B57" s="123" t="s">
        <v>113</v>
      </c>
      <c r="C57" s="92">
        <v>550000</v>
      </c>
      <c r="D57" s="76">
        <f t="shared" si="9"/>
        <v>550000</v>
      </c>
      <c r="E57" s="76">
        <v>550000</v>
      </c>
      <c r="F57" s="76"/>
      <c r="G57" s="76"/>
      <c r="H57" s="76"/>
      <c r="I57" s="76"/>
      <c r="J57" s="76"/>
      <c r="K57" s="115"/>
      <c r="L57" s="116"/>
      <c r="M57" s="76"/>
      <c r="N57" s="121"/>
      <c r="O57" s="100"/>
      <c r="P57" s="180"/>
      <c r="Q57" s="180"/>
    </row>
    <row r="58" spans="1:17" s="112" customFormat="1" ht="48" customHeight="1">
      <c r="A58" s="117">
        <v>2010</v>
      </c>
      <c r="B58" s="123" t="s">
        <v>101</v>
      </c>
      <c r="C58" s="92">
        <v>25000</v>
      </c>
      <c r="D58" s="76">
        <f t="shared" si="9"/>
        <v>25000</v>
      </c>
      <c r="E58" s="76">
        <v>25000</v>
      </c>
      <c r="F58" s="76"/>
      <c r="G58" s="76"/>
      <c r="H58" s="76"/>
      <c r="I58" s="76"/>
      <c r="J58" s="76"/>
      <c r="K58" s="115"/>
      <c r="L58" s="116"/>
      <c r="M58" s="76"/>
      <c r="N58" s="121"/>
      <c r="O58" s="100"/>
      <c r="P58" s="180"/>
      <c r="Q58" s="180"/>
    </row>
    <row r="59" spans="1:17" s="112" customFormat="1" ht="31.5" customHeight="1">
      <c r="A59" s="117">
        <v>2010</v>
      </c>
      <c r="B59" s="123" t="s">
        <v>74</v>
      </c>
      <c r="C59" s="92">
        <v>5508</v>
      </c>
      <c r="D59" s="76">
        <f t="shared" si="9"/>
        <v>5508</v>
      </c>
      <c r="E59" s="76">
        <v>5508</v>
      </c>
      <c r="F59" s="76"/>
      <c r="G59" s="76"/>
      <c r="H59" s="76"/>
      <c r="I59" s="76"/>
      <c r="J59" s="76"/>
      <c r="K59" s="115"/>
      <c r="L59" s="116"/>
      <c r="M59" s="76"/>
      <c r="N59" s="121"/>
      <c r="O59" s="100">
        <f t="shared" si="10"/>
        <v>0</v>
      </c>
      <c r="P59" s="180"/>
      <c r="Q59" s="180"/>
    </row>
    <row r="60" spans="1:17" s="49" customFormat="1" ht="19.5" customHeight="1">
      <c r="A60" s="24">
        <v>2111</v>
      </c>
      <c r="B60" s="5" t="s">
        <v>10</v>
      </c>
      <c r="C60" s="37">
        <f aca="true" t="shared" si="11" ref="C60:L60">SUM(C61:C67)</f>
        <v>874829</v>
      </c>
      <c r="D60" s="37">
        <f t="shared" si="11"/>
        <v>680258</v>
      </c>
      <c r="E60" s="37">
        <f t="shared" si="11"/>
        <v>0</v>
      </c>
      <c r="F60" s="37">
        <f t="shared" si="11"/>
        <v>0</v>
      </c>
      <c r="G60" s="37">
        <f t="shared" si="11"/>
        <v>0</v>
      </c>
      <c r="H60" s="37">
        <f t="shared" si="11"/>
        <v>200000</v>
      </c>
      <c r="I60" s="37">
        <f t="shared" si="11"/>
        <v>200000</v>
      </c>
      <c r="J60" s="101">
        <f t="shared" si="11"/>
        <v>0</v>
      </c>
      <c r="K60" s="97">
        <f t="shared" si="11"/>
        <v>258312</v>
      </c>
      <c r="L60" s="37">
        <f t="shared" si="11"/>
        <v>221946</v>
      </c>
      <c r="M60" s="101">
        <f>SUM(M61:M67)</f>
        <v>0</v>
      </c>
      <c r="N60" s="109">
        <f>SUM(N61:N67)</f>
        <v>430558</v>
      </c>
      <c r="O60" s="52">
        <f aca="true" t="shared" si="12" ref="O60:O67">C60-D60</f>
        <v>194571</v>
      </c>
      <c r="P60" s="101">
        <f>SUM(P61:P67)</f>
        <v>0</v>
      </c>
      <c r="Q60" s="101">
        <f>SUM(Q61:Q67)</f>
        <v>0</v>
      </c>
    </row>
    <row r="61" spans="1:17" s="154" customFormat="1" ht="45.75" customHeight="1">
      <c r="A61" s="147">
        <v>2111</v>
      </c>
      <c r="B61" s="148" t="s">
        <v>114</v>
      </c>
      <c r="C61" s="149">
        <v>206946</v>
      </c>
      <c r="D61" s="140">
        <f aca="true" t="shared" si="13" ref="D61:D67">E61+F61+G61+K61+L61+M61+J61</f>
        <v>206946</v>
      </c>
      <c r="E61" s="150"/>
      <c r="F61" s="149"/>
      <c r="G61" s="149"/>
      <c r="H61" s="140"/>
      <c r="I61" s="149"/>
      <c r="J61" s="149"/>
      <c r="K61" s="151"/>
      <c r="L61" s="149">
        <v>206946</v>
      </c>
      <c r="M61" s="152"/>
      <c r="N61" s="155">
        <v>206946</v>
      </c>
      <c r="O61" s="140">
        <f t="shared" si="12"/>
        <v>0</v>
      </c>
      <c r="P61" s="183"/>
      <c r="Q61" s="183"/>
    </row>
    <row r="62" spans="1:17" s="7" customFormat="1" ht="78.75" customHeight="1">
      <c r="A62" s="4">
        <v>2111</v>
      </c>
      <c r="B62" s="123" t="s">
        <v>115</v>
      </c>
      <c r="C62" s="92">
        <f>12500+14600+6000</f>
        <v>33100</v>
      </c>
      <c r="D62" s="76">
        <f t="shared" si="13"/>
        <v>33100</v>
      </c>
      <c r="E62" s="124"/>
      <c r="F62" s="92"/>
      <c r="G62" s="92"/>
      <c r="H62" s="76"/>
      <c r="I62" s="92"/>
      <c r="J62" s="92"/>
      <c r="K62" s="125">
        <f>C62</f>
        <v>33100</v>
      </c>
      <c r="L62" s="92"/>
      <c r="M62" s="126"/>
      <c r="N62" s="121">
        <f>12500+14600</f>
        <v>27100</v>
      </c>
      <c r="O62" s="76"/>
      <c r="P62" s="182"/>
      <c r="Q62" s="182"/>
    </row>
    <row r="63" spans="1:17" s="7" customFormat="1" ht="95.25" customHeight="1">
      <c r="A63" s="4">
        <v>2111</v>
      </c>
      <c r="B63" s="123" t="s">
        <v>116</v>
      </c>
      <c r="C63" s="92">
        <f>475083</f>
        <v>475083</v>
      </c>
      <c r="D63" s="76">
        <f>E63+F63+G63+K63+L63+M63+J63+H63</f>
        <v>280512</v>
      </c>
      <c r="E63" s="124"/>
      <c r="F63" s="92"/>
      <c r="G63" s="92"/>
      <c r="H63" s="76">
        <f>SUM(I63:J63)</f>
        <v>200000</v>
      </c>
      <c r="I63" s="92">
        <v>200000</v>
      </c>
      <c r="J63" s="92"/>
      <c r="K63" s="125">
        <f>26000+22512+32000</f>
        <v>80512</v>
      </c>
      <c r="L63" s="92"/>
      <c r="M63" s="126"/>
      <c r="N63" s="146">
        <f>K63+L63-26000-6000</f>
        <v>48512</v>
      </c>
      <c r="O63" s="76">
        <f t="shared" si="12"/>
        <v>194571</v>
      </c>
      <c r="P63" s="182"/>
      <c r="Q63" s="182"/>
    </row>
    <row r="64" spans="1:17" s="154" customFormat="1" ht="120.75" customHeight="1">
      <c r="A64" s="147">
        <v>2111</v>
      </c>
      <c r="B64" s="148" t="s">
        <v>58</v>
      </c>
      <c r="C64" s="149">
        <f>15000+20000+10000+10000+10000+10000</f>
        <v>75000</v>
      </c>
      <c r="D64" s="140">
        <f t="shared" si="13"/>
        <v>75000</v>
      </c>
      <c r="E64" s="150"/>
      <c r="F64" s="149"/>
      <c r="G64" s="149"/>
      <c r="H64" s="140"/>
      <c r="I64" s="149"/>
      <c r="J64" s="149"/>
      <c r="K64" s="151">
        <f>20000+10000+10000+10000+10000</f>
        <v>60000</v>
      </c>
      <c r="L64" s="149">
        <v>15000</v>
      </c>
      <c r="M64" s="152"/>
      <c r="N64" s="153">
        <f>K64+L64-10000</f>
        <v>65000</v>
      </c>
      <c r="O64" s="140">
        <f t="shared" si="12"/>
        <v>0</v>
      </c>
      <c r="P64" s="183"/>
      <c r="Q64" s="183"/>
    </row>
    <row r="65" spans="1:17" s="154" customFormat="1" ht="98.25" customHeight="1">
      <c r="A65" s="147">
        <v>2111</v>
      </c>
      <c r="B65" s="148" t="s">
        <v>48</v>
      </c>
      <c r="C65" s="149">
        <v>74000</v>
      </c>
      <c r="D65" s="140">
        <f t="shared" si="13"/>
        <v>74000</v>
      </c>
      <c r="E65" s="150"/>
      <c r="F65" s="149"/>
      <c r="G65" s="149"/>
      <c r="H65" s="140"/>
      <c r="I65" s="149"/>
      <c r="J65" s="149"/>
      <c r="K65" s="151">
        <v>74000</v>
      </c>
      <c r="L65" s="149"/>
      <c r="M65" s="152"/>
      <c r="N65" s="155">
        <v>74000</v>
      </c>
      <c r="O65" s="140">
        <f t="shared" si="12"/>
        <v>0</v>
      </c>
      <c r="P65" s="183"/>
      <c r="Q65" s="183"/>
    </row>
    <row r="66" spans="1:17" s="154" customFormat="1" ht="66.75" customHeight="1">
      <c r="A66" s="147">
        <v>2111</v>
      </c>
      <c r="B66" s="156" t="s">
        <v>55</v>
      </c>
      <c r="C66" s="149">
        <v>9000</v>
      </c>
      <c r="D66" s="140">
        <f t="shared" si="13"/>
        <v>9000</v>
      </c>
      <c r="E66" s="150"/>
      <c r="F66" s="149"/>
      <c r="G66" s="149"/>
      <c r="H66" s="140"/>
      <c r="I66" s="149"/>
      <c r="J66" s="149"/>
      <c r="K66" s="151">
        <v>9000</v>
      </c>
      <c r="L66" s="149"/>
      <c r="M66" s="152"/>
      <c r="N66" s="155">
        <v>9000</v>
      </c>
      <c r="O66" s="140">
        <f t="shared" si="12"/>
        <v>0</v>
      </c>
      <c r="P66" s="183"/>
      <c r="Q66" s="183"/>
    </row>
    <row r="67" spans="1:17" s="7" customFormat="1" ht="101.25" customHeight="1">
      <c r="A67" s="4">
        <v>2111</v>
      </c>
      <c r="B67" s="123" t="s">
        <v>59</v>
      </c>
      <c r="C67" s="92">
        <v>1700</v>
      </c>
      <c r="D67" s="76">
        <f t="shared" si="13"/>
        <v>1700</v>
      </c>
      <c r="E67" s="124"/>
      <c r="F67" s="92"/>
      <c r="G67" s="92"/>
      <c r="H67" s="76"/>
      <c r="I67" s="92"/>
      <c r="J67" s="92"/>
      <c r="K67" s="125">
        <v>1700</v>
      </c>
      <c r="L67" s="92"/>
      <c r="M67" s="126"/>
      <c r="N67" s="121"/>
      <c r="O67" s="76">
        <f t="shared" si="12"/>
        <v>0</v>
      </c>
      <c r="P67" s="182"/>
      <c r="Q67" s="182"/>
    </row>
    <row r="68" spans="1:17" s="80" customFormat="1" ht="48" customHeight="1">
      <c r="A68" s="131">
        <v>30000</v>
      </c>
      <c r="B68" s="132" t="s">
        <v>13</v>
      </c>
      <c r="C68" s="133">
        <f aca="true" t="shared" si="14" ref="C68:Q68">SUM(C69:C76)</f>
        <v>1865803</v>
      </c>
      <c r="D68" s="133">
        <f t="shared" si="14"/>
        <v>1476580</v>
      </c>
      <c r="E68" s="133">
        <f t="shared" si="14"/>
        <v>1228369</v>
      </c>
      <c r="F68" s="133">
        <f t="shared" si="14"/>
        <v>0</v>
      </c>
      <c r="G68" s="133">
        <f t="shared" si="14"/>
        <v>0</v>
      </c>
      <c r="H68" s="133">
        <f t="shared" si="14"/>
        <v>0</v>
      </c>
      <c r="I68" s="133">
        <f t="shared" si="14"/>
        <v>0</v>
      </c>
      <c r="J68" s="133">
        <f t="shared" si="14"/>
        <v>0</v>
      </c>
      <c r="K68" s="133">
        <f t="shared" si="14"/>
        <v>248211</v>
      </c>
      <c r="L68" s="133">
        <f t="shared" si="14"/>
        <v>0</v>
      </c>
      <c r="M68" s="133">
        <f t="shared" si="14"/>
        <v>0</v>
      </c>
      <c r="N68" s="133">
        <f t="shared" si="14"/>
        <v>248211</v>
      </c>
      <c r="O68" s="133">
        <f t="shared" si="14"/>
        <v>389223</v>
      </c>
      <c r="P68" s="133">
        <f t="shared" si="14"/>
        <v>0</v>
      </c>
      <c r="Q68" s="133">
        <f t="shared" si="14"/>
        <v>0</v>
      </c>
    </row>
    <row r="69" spans="1:17" s="197" customFormat="1" ht="42" customHeight="1">
      <c r="A69" s="193">
        <v>3104</v>
      </c>
      <c r="B69" s="194" t="s">
        <v>75</v>
      </c>
      <c r="C69" s="195">
        <v>1526429</v>
      </c>
      <c r="D69" s="76">
        <f aca="true" t="shared" si="15" ref="D69:D75">E69+F69+G69+K69+L69+M69+J69</f>
        <v>1201347</v>
      </c>
      <c r="E69" s="195">
        <f>984711+216636</f>
        <v>1201347</v>
      </c>
      <c r="F69" s="195"/>
      <c r="G69" s="195"/>
      <c r="H69" s="195"/>
      <c r="I69" s="195"/>
      <c r="J69" s="195"/>
      <c r="K69" s="195"/>
      <c r="L69" s="195"/>
      <c r="M69" s="195"/>
      <c r="N69" s="195"/>
      <c r="O69" s="76">
        <f aca="true" t="shared" si="16" ref="O69:O76">C69-D69</f>
        <v>325082</v>
      </c>
      <c r="P69" s="196"/>
      <c r="Q69" s="196"/>
    </row>
    <row r="70" spans="1:17" s="197" customFormat="1" ht="31.5" customHeight="1">
      <c r="A70" s="193">
        <v>3104</v>
      </c>
      <c r="B70" s="194" t="s">
        <v>76</v>
      </c>
      <c r="C70" s="195">
        <f>5710+300+3480</f>
        <v>9490</v>
      </c>
      <c r="D70" s="76">
        <f t="shared" si="15"/>
        <v>9490</v>
      </c>
      <c r="E70" s="195">
        <f>5710+300+3480</f>
        <v>9490</v>
      </c>
      <c r="F70" s="195"/>
      <c r="G70" s="195"/>
      <c r="H70" s="195"/>
      <c r="I70" s="195"/>
      <c r="J70" s="195"/>
      <c r="K70" s="195"/>
      <c r="L70" s="195"/>
      <c r="M70" s="195"/>
      <c r="N70" s="195"/>
      <c r="O70" s="76">
        <f t="shared" si="16"/>
        <v>0</v>
      </c>
      <c r="P70" s="196"/>
      <c r="Q70" s="196"/>
    </row>
    <row r="71" spans="1:17" s="197" customFormat="1" ht="31.5" customHeight="1">
      <c r="A71" s="193">
        <v>3104</v>
      </c>
      <c r="B71" s="194" t="s">
        <v>84</v>
      </c>
      <c r="C71" s="195">
        <v>10272</v>
      </c>
      <c r="D71" s="76">
        <f t="shared" si="15"/>
        <v>10272</v>
      </c>
      <c r="E71" s="195">
        <v>10272</v>
      </c>
      <c r="F71" s="195"/>
      <c r="G71" s="195"/>
      <c r="H71" s="195"/>
      <c r="I71" s="195"/>
      <c r="J71" s="195"/>
      <c r="K71" s="195"/>
      <c r="L71" s="195"/>
      <c r="M71" s="195"/>
      <c r="N71" s="195"/>
      <c r="O71" s="76">
        <f t="shared" si="16"/>
        <v>0</v>
      </c>
      <c r="P71" s="196"/>
      <c r="Q71" s="196"/>
    </row>
    <row r="72" spans="1:17" s="197" customFormat="1" ht="31.5" customHeight="1">
      <c r="A72" s="193">
        <v>3104</v>
      </c>
      <c r="B72" s="194" t="s">
        <v>83</v>
      </c>
      <c r="C72" s="195">
        <v>7260</v>
      </c>
      <c r="D72" s="76">
        <f t="shared" si="15"/>
        <v>7260</v>
      </c>
      <c r="E72" s="195">
        <v>7260</v>
      </c>
      <c r="F72" s="195"/>
      <c r="G72" s="195"/>
      <c r="H72" s="195"/>
      <c r="I72" s="195"/>
      <c r="J72" s="195"/>
      <c r="K72" s="195"/>
      <c r="L72" s="195"/>
      <c r="M72" s="195"/>
      <c r="N72" s="195"/>
      <c r="O72" s="76">
        <f t="shared" si="16"/>
        <v>0</v>
      </c>
      <c r="P72" s="196"/>
      <c r="Q72" s="196"/>
    </row>
    <row r="73" spans="1:17" s="162" customFormat="1" ht="111" customHeight="1">
      <c r="A73" s="157">
        <v>3160</v>
      </c>
      <c r="B73" s="158" t="s">
        <v>39</v>
      </c>
      <c r="C73" s="159">
        <f>28981+2544+22031+3558</f>
        <v>57114</v>
      </c>
      <c r="D73" s="140">
        <f t="shared" si="15"/>
        <v>57114</v>
      </c>
      <c r="E73" s="159"/>
      <c r="F73" s="159"/>
      <c r="G73" s="159"/>
      <c r="H73" s="160"/>
      <c r="I73" s="159"/>
      <c r="J73" s="159"/>
      <c r="K73" s="161">
        <f>C73</f>
        <v>57114</v>
      </c>
      <c r="L73" s="159"/>
      <c r="M73" s="159"/>
      <c r="N73" s="159">
        <v>57114</v>
      </c>
      <c r="O73" s="140">
        <f t="shared" si="16"/>
        <v>0</v>
      </c>
      <c r="P73" s="185"/>
      <c r="Q73" s="185"/>
    </row>
    <row r="74" spans="1:17" s="162" customFormat="1" ht="102" customHeight="1">
      <c r="A74" s="157">
        <v>3192</v>
      </c>
      <c r="B74" s="158" t="s">
        <v>37</v>
      </c>
      <c r="C74" s="159">
        <f>2300+822+329</f>
        <v>3451</v>
      </c>
      <c r="D74" s="140">
        <f t="shared" si="15"/>
        <v>3451</v>
      </c>
      <c r="E74" s="159"/>
      <c r="F74" s="159"/>
      <c r="G74" s="159"/>
      <c r="H74" s="160"/>
      <c r="I74" s="159"/>
      <c r="J74" s="159"/>
      <c r="K74" s="161">
        <f>C74</f>
        <v>3451</v>
      </c>
      <c r="L74" s="159"/>
      <c r="M74" s="159"/>
      <c r="N74" s="159">
        <v>3451</v>
      </c>
      <c r="O74" s="140">
        <f t="shared" si="16"/>
        <v>0</v>
      </c>
      <c r="P74" s="185"/>
      <c r="Q74" s="185"/>
    </row>
    <row r="75" spans="1:17" s="162" customFormat="1" ht="120.75" customHeight="1">
      <c r="A75" s="147">
        <v>3192</v>
      </c>
      <c r="B75" s="158" t="s">
        <v>38</v>
      </c>
      <c r="C75" s="159">
        <f>18625+5000+4779+3730</f>
        <v>32134</v>
      </c>
      <c r="D75" s="140">
        <f t="shared" si="15"/>
        <v>32134</v>
      </c>
      <c r="E75" s="159"/>
      <c r="F75" s="159"/>
      <c r="G75" s="159"/>
      <c r="H75" s="160"/>
      <c r="I75" s="159"/>
      <c r="J75" s="159"/>
      <c r="K75" s="161">
        <f>C75</f>
        <v>32134</v>
      </c>
      <c r="L75" s="159"/>
      <c r="M75" s="163"/>
      <c r="N75" s="159">
        <v>32134</v>
      </c>
      <c r="O75" s="140">
        <f t="shared" si="16"/>
        <v>0</v>
      </c>
      <c r="P75" s="185"/>
      <c r="Q75" s="185"/>
    </row>
    <row r="76" spans="1:17" s="162" customFormat="1" ht="89.25" customHeight="1">
      <c r="A76" s="147">
        <v>3121</v>
      </c>
      <c r="B76" s="164" t="s">
        <v>54</v>
      </c>
      <c r="C76" s="159">
        <v>219653</v>
      </c>
      <c r="D76" s="140">
        <f>E76+F76+G76+K76+L76+M76+J76</f>
        <v>155512</v>
      </c>
      <c r="E76" s="159"/>
      <c r="F76" s="159"/>
      <c r="G76" s="159"/>
      <c r="H76" s="160"/>
      <c r="I76" s="159"/>
      <c r="J76" s="159"/>
      <c r="K76" s="161">
        <f>69316+66196+20000</f>
        <v>155512</v>
      </c>
      <c r="L76" s="159"/>
      <c r="M76" s="163"/>
      <c r="N76" s="159">
        <v>155512</v>
      </c>
      <c r="O76" s="140">
        <f t="shared" si="16"/>
        <v>64141</v>
      </c>
      <c r="P76" s="185"/>
      <c r="Q76" s="185"/>
    </row>
    <row r="77" spans="1:17" s="82" customFormat="1" ht="30.75" customHeight="1">
      <c r="A77" s="54">
        <v>40000</v>
      </c>
      <c r="B77" s="81" t="s">
        <v>11</v>
      </c>
      <c r="C77" s="52">
        <f>SUM(C78:C80)</f>
        <v>923504</v>
      </c>
      <c r="D77" s="52">
        <f aca="true" t="shared" si="17" ref="D77:Q77">SUM(D78:D80)</f>
        <v>662645</v>
      </c>
      <c r="E77" s="52">
        <f t="shared" si="17"/>
        <v>578845</v>
      </c>
      <c r="F77" s="52">
        <f t="shared" si="17"/>
        <v>0</v>
      </c>
      <c r="G77" s="52">
        <f t="shared" si="17"/>
        <v>0</v>
      </c>
      <c r="H77" s="52">
        <f t="shared" si="17"/>
        <v>0</v>
      </c>
      <c r="I77" s="52">
        <f t="shared" si="17"/>
        <v>0</v>
      </c>
      <c r="J77" s="52">
        <f t="shared" si="17"/>
        <v>0</v>
      </c>
      <c r="K77" s="52">
        <f t="shared" si="17"/>
        <v>0</v>
      </c>
      <c r="L77" s="52">
        <f t="shared" si="17"/>
        <v>83800</v>
      </c>
      <c r="M77" s="52">
        <f t="shared" si="17"/>
        <v>0</v>
      </c>
      <c r="N77" s="52">
        <f t="shared" si="17"/>
        <v>83800</v>
      </c>
      <c r="O77" s="52">
        <f t="shared" si="17"/>
        <v>260859</v>
      </c>
      <c r="P77" s="52">
        <f t="shared" si="17"/>
        <v>0</v>
      </c>
      <c r="Q77" s="52">
        <f t="shared" si="17"/>
        <v>0</v>
      </c>
    </row>
    <row r="78" spans="1:17" s="166" customFormat="1" ht="47.25" customHeight="1">
      <c r="A78" s="165">
        <v>40000</v>
      </c>
      <c r="B78" s="158" t="s">
        <v>34</v>
      </c>
      <c r="C78" s="140">
        <v>83800</v>
      </c>
      <c r="D78" s="140">
        <f>E78+F78+G78+K78+L78+M78+J78</f>
        <v>83800</v>
      </c>
      <c r="E78" s="160"/>
      <c r="F78" s="160"/>
      <c r="G78" s="160"/>
      <c r="H78" s="160">
        <f>SUM(I78:J78)</f>
        <v>0</v>
      </c>
      <c r="I78" s="160"/>
      <c r="J78" s="160"/>
      <c r="K78" s="160"/>
      <c r="L78" s="160">
        <v>83800</v>
      </c>
      <c r="M78" s="160"/>
      <c r="N78" s="160">
        <v>83800</v>
      </c>
      <c r="O78" s="140">
        <f>C78-D78</f>
        <v>0</v>
      </c>
      <c r="P78" s="186"/>
      <c r="Q78" s="186"/>
    </row>
    <row r="79" spans="1:17" s="80" customFormat="1" ht="39.75" customHeight="1">
      <c r="A79" s="66">
        <v>40000</v>
      </c>
      <c r="B79" s="68" t="s">
        <v>77</v>
      </c>
      <c r="C79" s="76">
        <v>719300</v>
      </c>
      <c r="D79" s="76">
        <f>E79+F79+G79+K79+L79+M79+J79</f>
        <v>545845</v>
      </c>
      <c r="E79" s="64">
        <f>437000+108845</f>
        <v>545845</v>
      </c>
      <c r="F79" s="64"/>
      <c r="G79" s="64"/>
      <c r="H79" s="64">
        <f>SUM(I79:J79)</f>
        <v>0</v>
      </c>
      <c r="I79" s="64"/>
      <c r="J79" s="64"/>
      <c r="K79" s="64"/>
      <c r="L79" s="64"/>
      <c r="M79" s="64"/>
      <c r="N79" s="64"/>
      <c r="O79" s="76">
        <f>C79-D79</f>
        <v>173455</v>
      </c>
      <c r="P79" s="184"/>
      <c r="Q79" s="184"/>
    </row>
    <row r="80" spans="1:17" s="80" customFormat="1" ht="27.75" customHeight="1">
      <c r="A80" s="66">
        <v>40000</v>
      </c>
      <c r="B80" s="68" t="s">
        <v>78</v>
      </c>
      <c r="C80" s="76">
        <f>18000+6000+9000+87404</f>
        <v>120404</v>
      </c>
      <c r="D80" s="76">
        <f>E80+F80+G80+K80+L80+M80+J80</f>
        <v>33000</v>
      </c>
      <c r="E80" s="64">
        <f>18000+6000+9000</f>
        <v>33000</v>
      </c>
      <c r="F80" s="64"/>
      <c r="G80" s="64"/>
      <c r="H80" s="64"/>
      <c r="I80" s="64"/>
      <c r="J80" s="64"/>
      <c r="K80" s="64"/>
      <c r="L80" s="64"/>
      <c r="M80" s="64"/>
      <c r="N80" s="64"/>
      <c r="O80" s="76">
        <f>C80-D80</f>
        <v>87404</v>
      </c>
      <c r="P80" s="184"/>
      <c r="Q80" s="184"/>
    </row>
    <row r="81" spans="1:17" s="96" customFormat="1" ht="36.75" customHeight="1">
      <c r="A81" s="24">
        <v>5000</v>
      </c>
      <c r="B81" s="5" t="s">
        <v>25</v>
      </c>
      <c r="C81" s="37">
        <f>SUM(C82:C84)</f>
        <v>358810</v>
      </c>
      <c r="D81" s="37">
        <f aca="true" t="shared" si="18" ref="D81:Q81">SUM(D82:D84)</f>
        <v>358810</v>
      </c>
      <c r="E81" s="37">
        <f t="shared" si="18"/>
        <v>0</v>
      </c>
      <c r="F81" s="37">
        <f t="shared" si="18"/>
        <v>0</v>
      </c>
      <c r="G81" s="37">
        <f t="shared" si="18"/>
        <v>0</v>
      </c>
      <c r="H81" s="37">
        <f t="shared" si="18"/>
        <v>0</v>
      </c>
      <c r="I81" s="37">
        <f t="shared" si="18"/>
        <v>0</v>
      </c>
      <c r="J81" s="37">
        <f t="shared" si="18"/>
        <v>0</v>
      </c>
      <c r="K81" s="37">
        <f t="shared" si="18"/>
        <v>358810</v>
      </c>
      <c r="L81" s="37">
        <f t="shared" si="18"/>
        <v>0</v>
      </c>
      <c r="M81" s="37">
        <f t="shared" si="18"/>
        <v>0</v>
      </c>
      <c r="N81" s="37">
        <f t="shared" si="18"/>
        <v>358810</v>
      </c>
      <c r="O81" s="37">
        <f t="shared" si="18"/>
        <v>0</v>
      </c>
      <c r="P81" s="37">
        <f t="shared" si="18"/>
        <v>0</v>
      </c>
      <c r="Q81" s="37">
        <f t="shared" si="18"/>
        <v>0</v>
      </c>
    </row>
    <row r="82" spans="1:17" s="154" customFormat="1" ht="81" customHeight="1">
      <c r="A82" s="147">
        <v>5032</v>
      </c>
      <c r="B82" s="167" t="s">
        <v>40</v>
      </c>
      <c r="C82" s="149">
        <v>140770</v>
      </c>
      <c r="D82" s="140">
        <f aca="true" t="shared" si="19" ref="D82:D88">E82+F82+G82+K82+L82+M82+J82</f>
        <v>140770</v>
      </c>
      <c r="E82" s="168"/>
      <c r="F82" s="168"/>
      <c r="G82" s="168"/>
      <c r="H82" s="160">
        <f>SUM(I82:J82)</f>
        <v>0</v>
      </c>
      <c r="I82" s="168"/>
      <c r="J82" s="168"/>
      <c r="K82" s="169">
        <v>140770</v>
      </c>
      <c r="L82" s="168"/>
      <c r="M82" s="168"/>
      <c r="N82" s="157">
        <v>140770</v>
      </c>
      <c r="O82" s="140">
        <f aca="true" t="shared" si="20" ref="O82:O88">C82-D82</f>
        <v>0</v>
      </c>
      <c r="P82" s="183"/>
      <c r="Q82" s="183"/>
    </row>
    <row r="83" spans="1:17" s="154" customFormat="1" ht="141" customHeight="1">
      <c r="A83" s="147">
        <v>5032</v>
      </c>
      <c r="B83" s="167" t="s">
        <v>41</v>
      </c>
      <c r="C83" s="149">
        <v>163040</v>
      </c>
      <c r="D83" s="140">
        <f t="shared" si="19"/>
        <v>163040</v>
      </c>
      <c r="E83" s="168"/>
      <c r="F83" s="168"/>
      <c r="G83" s="168"/>
      <c r="H83" s="160"/>
      <c r="I83" s="168"/>
      <c r="J83" s="168"/>
      <c r="K83" s="169">
        <v>163040</v>
      </c>
      <c r="L83" s="168"/>
      <c r="M83" s="168"/>
      <c r="N83" s="157">
        <v>163040</v>
      </c>
      <c r="O83" s="140">
        <f t="shared" si="20"/>
        <v>0</v>
      </c>
      <c r="P83" s="183"/>
      <c r="Q83" s="183"/>
    </row>
    <row r="84" spans="1:17" s="174" customFormat="1" ht="60" customHeight="1">
      <c r="A84" s="170">
        <v>5032</v>
      </c>
      <c r="B84" s="171" t="s">
        <v>50</v>
      </c>
      <c r="C84" s="149">
        <f>15000+40000</f>
        <v>55000</v>
      </c>
      <c r="D84" s="140">
        <f t="shared" si="19"/>
        <v>55000</v>
      </c>
      <c r="E84" s="172"/>
      <c r="F84" s="172"/>
      <c r="G84" s="172"/>
      <c r="H84" s="140"/>
      <c r="I84" s="172"/>
      <c r="J84" s="172"/>
      <c r="K84" s="173">
        <f>C84</f>
        <v>55000</v>
      </c>
      <c r="L84" s="172"/>
      <c r="M84" s="172"/>
      <c r="N84" s="138">
        <v>55000</v>
      </c>
      <c r="O84" s="140">
        <f t="shared" si="20"/>
        <v>0</v>
      </c>
      <c r="P84" s="187"/>
      <c r="Q84" s="187"/>
    </row>
    <row r="85" spans="1:17" s="154" customFormat="1" ht="93" customHeight="1">
      <c r="A85" s="175" t="s">
        <v>35</v>
      </c>
      <c r="B85" s="176" t="s">
        <v>36</v>
      </c>
      <c r="C85" s="149">
        <f>6097+3049+509</f>
        <v>9655</v>
      </c>
      <c r="D85" s="140">
        <f t="shared" si="19"/>
        <v>9655</v>
      </c>
      <c r="E85" s="168"/>
      <c r="F85" s="168"/>
      <c r="G85" s="168"/>
      <c r="H85" s="160"/>
      <c r="I85" s="168"/>
      <c r="J85" s="168"/>
      <c r="K85" s="169">
        <f>C85</f>
        <v>9655</v>
      </c>
      <c r="L85" s="168"/>
      <c r="M85" s="168"/>
      <c r="N85" s="157">
        <v>9655</v>
      </c>
      <c r="O85" s="140">
        <f t="shared" si="20"/>
        <v>0</v>
      </c>
      <c r="P85" s="183"/>
      <c r="Q85" s="183"/>
    </row>
    <row r="86" spans="1:17" s="95" customFormat="1" ht="66.75" customHeight="1">
      <c r="A86" s="111" t="s">
        <v>79</v>
      </c>
      <c r="B86" s="103" t="s">
        <v>80</v>
      </c>
      <c r="C86" s="65">
        <v>6952158</v>
      </c>
      <c r="D86" s="76">
        <f t="shared" si="19"/>
        <v>6952158</v>
      </c>
      <c r="E86" s="64">
        <v>6952158</v>
      </c>
      <c r="F86" s="64"/>
      <c r="G86" s="64"/>
      <c r="H86" s="64"/>
      <c r="I86" s="64"/>
      <c r="J86" s="64"/>
      <c r="K86" s="88"/>
      <c r="L86" s="64"/>
      <c r="M86" s="64"/>
      <c r="N86" s="66"/>
      <c r="O86" s="64">
        <f t="shared" si="20"/>
        <v>0</v>
      </c>
      <c r="P86" s="188"/>
      <c r="Q86" s="188"/>
    </row>
    <row r="87" spans="1:17" s="154" customFormat="1" ht="83.25" customHeight="1">
      <c r="A87" s="202" t="s">
        <v>117</v>
      </c>
      <c r="B87" s="198" t="s">
        <v>49</v>
      </c>
      <c r="C87" s="199">
        <v>3700</v>
      </c>
      <c r="D87" s="140">
        <f t="shared" si="19"/>
        <v>3700</v>
      </c>
      <c r="E87" s="160"/>
      <c r="F87" s="160"/>
      <c r="G87" s="160"/>
      <c r="H87" s="200"/>
      <c r="I87" s="160"/>
      <c r="J87" s="160"/>
      <c r="K87" s="201">
        <f>2200+1500</f>
        <v>3700</v>
      </c>
      <c r="L87" s="160"/>
      <c r="M87" s="160"/>
      <c r="N87" s="165">
        <v>3700</v>
      </c>
      <c r="O87" s="160">
        <f t="shared" si="20"/>
        <v>0</v>
      </c>
      <c r="P87" s="183"/>
      <c r="Q87" s="183"/>
    </row>
    <row r="88" spans="1:17" s="93" customFormat="1" ht="125.25" customHeight="1">
      <c r="A88" s="77">
        <v>9770</v>
      </c>
      <c r="B88" s="103" t="s">
        <v>98</v>
      </c>
      <c r="C88" s="65">
        <f>13070+39380+3473+59000</f>
        <v>114923</v>
      </c>
      <c r="D88" s="76">
        <f t="shared" si="19"/>
        <v>114923</v>
      </c>
      <c r="E88" s="64"/>
      <c r="F88" s="64"/>
      <c r="G88" s="64"/>
      <c r="H88" s="67"/>
      <c r="I88" s="64"/>
      <c r="J88" s="64"/>
      <c r="K88" s="88">
        <f>C88</f>
        <v>114923</v>
      </c>
      <c r="L88" s="64"/>
      <c r="M88" s="64"/>
      <c r="N88" s="64">
        <f>K88-59000</f>
        <v>55923</v>
      </c>
      <c r="O88" s="64">
        <f t="shared" si="20"/>
        <v>0</v>
      </c>
      <c r="P88" s="189"/>
      <c r="Q88" s="189"/>
    </row>
    <row r="89" spans="1:17" s="53" customFormat="1" ht="28.5" customHeight="1">
      <c r="A89" s="54"/>
      <c r="B89" s="57" t="s">
        <v>5</v>
      </c>
      <c r="C89" s="33">
        <f aca="true" t="shared" si="21" ref="C89:Q89">C13+C16+C44+C77+C68+C81+C86+C87+C88+C85</f>
        <v>87731392</v>
      </c>
      <c r="D89" s="33">
        <f t="shared" si="21"/>
        <v>28226027</v>
      </c>
      <c r="E89" s="33">
        <f t="shared" si="21"/>
        <v>26560000</v>
      </c>
      <c r="F89" s="33">
        <f t="shared" si="21"/>
        <v>0</v>
      </c>
      <c r="G89" s="33">
        <f t="shared" si="21"/>
        <v>0</v>
      </c>
      <c r="H89" s="33">
        <f t="shared" si="21"/>
        <v>423900</v>
      </c>
      <c r="I89" s="33">
        <f t="shared" si="21"/>
        <v>320000</v>
      </c>
      <c r="J89" s="33">
        <f t="shared" si="21"/>
        <v>103900</v>
      </c>
      <c r="K89" s="33">
        <f t="shared" si="21"/>
        <v>1236381</v>
      </c>
      <c r="L89" s="33">
        <f t="shared" si="21"/>
        <v>5746</v>
      </c>
      <c r="M89" s="33">
        <f t="shared" si="21"/>
        <v>0</v>
      </c>
      <c r="N89" s="33">
        <f t="shared" si="21"/>
        <v>1389187</v>
      </c>
      <c r="O89" s="33">
        <f t="shared" si="21"/>
        <v>59505365</v>
      </c>
      <c r="P89" s="33">
        <f t="shared" si="21"/>
        <v>43230500</v>
      </c>
      <c r="Q89" s="33">
        <f t="shared" si="21"/>
        <v>5909000</v>
      </c>
    </row>
    <row r="90" spans="1:17" s="8" customFormat="1" ht="27.75" customHeight="1">
      <c r="A90" s="217" t="s">
        <v>7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9"/>
    </row>
    <row r="91" spans="1:17" s="45" customFormat="1" ht="24.75" customHeight="1">
      <c r="A91" s="113" t="s">
        <v>29</v>
      </c>
      <c r="B91" s="25" t="s">
        <v>0</v>
      </c>
      <c r="C91" s="33">
        <f>SUM(C92:C92)</f>
        <v>489722</v>
      </c>
      <c r="D91" s="33">
        <f>SUM(D92:D92)</f>
        <v>489722</v>
      </c>
      <c r="E91" s="33">
        <f aca="true" t="shared" si="22" ref="E91:Q91">E92</f>
        <v>0</v>
      </c>
      <c r="F91" s="33">
        <f t="shared" si="22"/>
        <v>0</v>
      </c>
      <c r="G91" s="33">
        <f t="shared" si="22"/>
        <v>0</v>
      </c>
      <c r="H91" s="33">
        <f t="shared" si="22"/>
        <v>489722</v>
      </c>
      <c r="I91" s="33">
        <f t="shared" si="22"/>
        <v>0</v>
      </c>
      <c r="J91" s="33">
        <f t="shared" si="22"/>
        <v>489722</v>
      </c>
      <c r="K91" s="33">
        <f t="shared" si="22"/>
        <v>0</v>
      </c>
      <c r="L91" s="33">
        <f t="shared" si="22"/>
        <v>0</v>
      </c>
      <c r="M91" s="33">
        <f t="shared" si="22"/>
        <v>0</v>
      </c>
      <c r="N91" s="33">
        <f t="shared" si="22"/>
        <v>0</v>
      </c>
      <c r="O91" s="33">
        <f t="shared" si="22"/>
        <v>0</v>
      </c>
      <c r="P91" s="33">
        <f t="shared" si="22"/>
        <v>0</v>
      </c>
      <c r="Q91" s="33">
        <f t="shared" si="22"/>
        <v>0</v>
      </c>
    </row>
    <row r="92" spans="1:17" s="1" customFormat="1" ht="93.75" customHeight="1">
      <c r="A92" s="107" t="s">
        <v>31</v>
      </c>
      <c r="B92" s="78" t="s">
        <v>112</v>
      </c>
      <c r="C92" s="36">
        <v>489722</v>
      </c>
      <c r="D92" s="76">
        <f>E92+F92+G92+K92+L92+M92+J92</f>
        <v>489722</v>
      </c>
      <c r="E92" s="36"/>
      <c r="F92" s="36"/>
      <c r="G92" s="36"/>
      <c r="H92" s="36">
        <f>SUM(I92:J92)</f>
        <v>489722</v>
      </c>
      <c r="I92" s="36"/>
      <c r="J92" s="36">
        <v>489722</v>
      </c>
      <c r="K92" s="89"/>
      <c r="L92" s="36"/>
      <c r="M92" s="36"/>
      <c r="N92" s="36"/>
      <c r="O92" s="76">
        <f>C92-D92</f>
        <v>0</v>
      </c>
      <c r="P92" s="190"/>
      <c r="Q92" s="190"/>
    </row>
    <row r="93" spans="1:17" s="1" customFormat="1" ht="26.25" customHeight="1">
      <c r="A93" s="24">
        <v>1000</v>
      </c>
      <c r="B93" s="26" t="s">
        <v>1</v>
      </c>
      <c r="C93" s="33">
        <f>SUM(C94:C99)</f>
        <v>2012830</v>
      </c>
      <c r="D93" s="33">
        <f aca="true" t="shared" si="23" ref="D93:Q93">SUM(D94:D99)</f>
        <v>2012830</v>
      </c>
      <c r="E93" s="33">
        <f t="shared" si="23"/>
        <v>1661380</v>
      </c>
      <c r="F93" s="33">
        <f t="shared" si="23"/>
        <v>0</v>
      </c>
      <c r="G93" s="33">
        <f t="shared" si="23"/>
        <v>0</v>
      </c>
      <c r="H93" s="33">
        <f t="shared" si="23"/>
        <v>75000</v>
      </c>
      <c r="I93" s="33">
        <f t="shared" si="23"/>
        <v>0</v>
      </c>
      <c r="J93" s="33">
        <f t="shared" si="23"/>
        <v>75000</v>
      </c>
      <c r="K93" s="33">
        <f t="shared" si="23"/>
        <v>65000</v>
      </c>
      <c r="L93" s="33">
        <f t="shared" si="23"/>
        <v>0</v>
      </c>
      <c r="M93" s="33">
        <f t="shared" si="23"/>
        <v>211450</v>
      </c>
      <c r="N93" s="33">
        <f t="shared" si="23"/>
        <v>0</v>
      </c>
      <c r="O93" s="33">
        <f t="shared" si="23"/>
        <v>0</v>
      </c>
      <c r="P93" s="33">
        <f t="shared" si="23"/>
        <v>0</v>
      </c>
      <c r="Q93" s="33">
        <f t="shared" si="23"/>
        <v>0</v>
      </c>
    </row>
    <row r="94" spans="1:17" s="1" customFormat="1" ht="26.25" customHeight="1">
      <c r="A94" s="77">
        <v>1020</v>
      </c>
      <c r="B94" s="114" t="s">
        <v>99</v>
      </c>
      <c r="C94" s="36">
        <v>1181380</v>
      </c>
      <c r="D94" s="76">
        <f aca="true" t="shared" si="24" ref="D94:D103">E94+F94+G94+K94+L94+M94+J94</f>
        <v>1181380</v>
      </c>
      <c r="E94" s="36">
        <v>1181380</v>
      </c>
      <c r="F94" s="36"/>
      <c r="G94" s="36"/>
      <c r="H94" s="36"/>
      <c r="I94" s="36"/>
      <c r="J94" s="36"/>
      <c r="K94" s="36"/>
      <c r="L94" s="36"/>
      <c r="M94" s="127"/>
      <c r="N94" s="36"/>
      <c r="O94" s="36"/>
      <c r="P94" s="190"/>
      <c r="Q94" s="190"/>
    </row>
    <row r="95" spans="1:17" s="1" customFormat="1" ht="93.75" customHeight="1">
      <c r="A95" s="77">
        <v>1020</v>
      </c>
      <c r="B95" s="114" t="s">
        <v>53</v>
      </c>
      <c r="C95" s="36">
        <v>65000</v>
      </c>
      <c r="D95" s="76">
        <f t="shared" si="24"/>
        <v>65000</v>
      </c>
      <c r="E95" s="36"/>
      <c r="F95" s="36"/>
      <c r="G95" s="36"/>
      <c r="H95" s="36">
        <f>SUM(I95:J95)</f>
        <v>0</v>
      </c>
      <c r="I95" s="36"/>
      <c r="J95" s="36"/>
      <c r="K95" s="36">
        <v>65000</v>
      </c>
      <c r="L95" s="36"/>
      <c r="M95" s="127"/>
      <c r="N95" s="128"/>
      <c r="O95" s="76">
        <f aca="true" t="shared" si="25" ref="O95:O103">C95-D95</f>
        <v>0</v>
      </c>
      <c r="P95" s="190"/>
      <c r="Q95" s="190"/>
    </row>
    <row r="96" spans="1:17" s="1" customFormat="1" ht="50.25" customHeight="1">
      <c r="A96" s="77">
        <v>1020</v>
      </c>
      <c r="B96" s="114" t="s">
        <v>94</v>
      </c>
      <c r="C96" s="36">
        <v>430000</v>
      </c>
      <c r="D96" s="76">
        <f t="shared" si="24"/>
        <v>430000</v>
      </c>
      <c r="E96" s="36">
        <v>430000</v>
      </c>
      <c r="F96" s="36"/>
      <c r="G96" s="36"/>
      <c r="H96" s="36"/>
      <c r="I96" s="36"/>
      <c r="J96" s="36"/>
      <c r="K96" s="36"/>
      <c r="L96" s="36"/>
      <c r="M96" s="127"/>
      <c r="N96" s="128"/>
      <c r="O96" s="76">
        <f t="shared" si="25"/>
        <v>0</v>
      </c>
      <c r="P96" s="190"/>
      <c r="Q96" s="190"/>
    </row>
    <row r="97" spans="1:17" s="1" customFormat="1" ht="35.25" customHeight="1">
      <c r="A97" s="77">
        <v>1020</v>
      </c>
      <c r="B97" s="114" t="s">
        <v>100</v>
      </c>
      <c r="C97" s="36">
        <v>50000</v>
      </c>
      <c r="D97" s="76">
        <f t="shared" si="24"/>
        <v>50000</v>
      </c>
      <c r="E97" s="36">
        <v>50000</v>
      </c>
      <c r="F97" s="36"/>
      <c r="G97" s="36"/>
      <c r="H97" s="36"/>
      <c r="I97" s="36"/>
      <c r="J97" s="36"/>
      <c r="K97" s="36"/>
      <c r="L97" s="36"/>
      <c r="M97" s="127"/>
      <c r="N97" s="128"/>
      <c r="O97" s="76">
        <f t="shared" si="25"/>
        <v>0</v>
      </c>
      <c r="P97" s="190"/>
      <c r="Q97" s="190"/>
    </row>
    <row r="98" spans="1:17" s="1" customFormat="1" ht="26.25" customHeight="1">
      <c r="A98" s="77">
        <v>1020</v>
      </c>
      <c r="B98" s="114" t="s">
        <v>60</v>
      </c>
      <c r="C98" s="36">
        <v>75000</v>
      </c>
      <c r="D98" s="76">
        <f t="shared" si="24"/>
        <v>75000</v>
      </c>
      <c r="E98" s="127"/>
      <c r="F98" s="36"/>
      <c r="G98" s="36"/>
      <c r="H98" s="36">
        <f>SUM(I98:J98)</f>
        <v>75000</v>
      </c>
      <c r="I98" s="36"/>
      <c r="J98" s="36">
        <v>75000</v>
      </c>
      <c r="K98" s="36"/>
      <c r="L98" s="36"/>
      <c r="M98" s="127"/>
      <c r="N98" s="128"/>
      <c r="O98" s="76">
        <f t="shared" si="25"/>
        <v>0</v>
      </c>
      <c r="P98" s="190"/>
      <c r="Q98" s="190"/>
    </row>
    <row r="99" spans="1:17" s="1" customFormat="1" ht="86.25" customHeight="1">
      <c r="A99" s="77">
        <v>1020</v>
      </c>
      <c r="B99" s="114" t="s">
        <v>102</v>
      </c>
      <c r="C99" s="36">
        <v>211450</v>
      </c>
      <c r="D99" s="76">
        <f t="shared" si="24"/>
        <v>211450</v>
      </c>
      <c r="E99" s="127"/>
      <c r="F99" s="36"/>
      <c r="G99" s="36"/>
      <c r="H99" s="127">
        <f>SUM(I99:J99)</f>
        <v>0</v>
      </c>
      <c r="I99" s="127"/>
      <c r="J99" s="127"/>
      <c r="K99" s="36"/>
      <c r="L99" s="36"/>
      <c r="M99" s="127">
        <v>211450</v>
      </c>
      <c r="N99" s="128"/>
      <c r="O99" s="76">
        <f t="shared" si="25"/>
        <v>0</v>
      </c>
      <c r="P99" s="190"/>
      <c r="Q99" s="190"/>
    </row>
    <row r="100" spans="1:17" s="50" customFormat="1" ht="24" customHeight="1">
      <c r="A100" s="25">
        <v>20000</v>
      </c>
      <c r="B100" s="26" t="s">
        <v>2</v>
      </c>
      <c r="C100" s="37">
        <f>C101+C104</f>
        <v>1483473.7</v>
      </c>
      <c r="D100" s="52">
        <f t="shared" si="24"/>
        <v>1483473.7</v>
      </c>
      <c r="E100" s="37">
        <f aca="true" t="shared" si="26" ref="E100:N100">E101+E104</f>
        <v>0</v>
      </c>
      <c r="F100" s="37">
        <f t="shared" si="26"/>
        <v>0</v>
      </c>
      <c r="G100" s="37">
        <f t="shared" si="26"/>
        <v>0</v>
      </c>
      <c r="H100" s="101">
        <f t="shared" si="26"/>
        <v>1263473.7</v>
      </c>
      <c r="I100" s="101">
        <f t="shared" si="26"/>
        <v>0</v>
      </c>
      <c r="J100" s="101">
        <f t="shared" si="26"/>
        <v>1263473.7</v>
      </c>
      <c r="K100" s="91">
        <f t="shared" si="26"/>
        <v>0</v>
      </c>
      <c r="L100" s="37">
        <f t="shared" si="26"/>
        <v>220000</v>
      </c>
      <c r="M100" s="37">
        <f t="shared" si="26"/>
        <v>0</v>
      </c>
      <c r="N100" s="37">
        <f t="shared" si="26"/>
        <v>0</v>
      </c>
      <c r="O100" s="52">
        <f t="shared" si="25"/>
        <v>0</v>
      </c>
      <c r="P100" s="37">
        <f>P101+P104</f>
        <v>0</v>
      </c>
      <c r="Q100" s="37">
        <f>Q101+Q104</f>
        <v>0</v>
      </c>
    </row>
    <row r="101" spans="1:17" s="50" customFormat="1" ht="20.25" customHeight="1">
      <c r="A101" s="24">
        <v>2010</v>
      </c>
      <c r="B101" s="26" t="s">
        <v>9</v>
      </c>
      <c r="C101" s="37">
        <f>SUM(C102:C103)</f>
        <v>1263473.7</v>
      </c>
      <c r="D101" s="52">
        <f t="shared" si="24"/>
        <v>1263473.7</v>
      </c>
      <c r="E101" s="37">
        <f aca="true" t="shared" si="27" ref="E101:N101">SUM(E102:E103)</f>
        <v>0</v>
      </c>
      <c r="F101" s="37">
        <f t="shared" si="27"/>
        <v>0</v>
      </c>
      <c r="G101" s="37">
        <f t="shared" si="27"/>
        <v>0</v>
      </c>
      <c r="H101" s="101">
        <f t="shared" si="27"/>
        <v>1263473.7</v>
      </c>
      <c r="I101" s="101">
        <f t="shared" si="27"/>
        <v>0</v>
      </c>
      <c r="J101" s="101">
        <f t="shared" si="27"/>
        <v>1263473.7</v>
      </c>
      <c r="K101" s="37">
        <f t="shared" si="27"/>
        <v>0</v>
      </c>
      <c r="L101" s="37">
        <f t="shared" si="27"/>
        <v>0</v>
      </c>
      <c r="M101" s="37">
        <f t="shared" si="27"/>
        <v>0</v>
      </c>
      <c r="N101" s="37">
        <f t="shared" si="27"/>
        <v>0</v>
      </c>
      <c r="O101" s="52">
        <f t="shared" si="25"/>
        <v>0</v>
      </c>
      <c r="P101" s="204"/>
      <c r="Q101" s="204"/>
    </row>
    <row r="102" spans="1:17" s="49" customFormat="1" ht="130.5" customHeight="1">
      <c r="A102" s="77">
        <v>2010</v>
      </c>
      <c r="B102" s="114" t="s">
        <v>119</v>
      </c>
      <c r="C102" s="38">
        <v>163473.7</v>
      </c>
      <c r="D102" s="76">
        <f t="shared" si="24"/>
        <v>163473.7</v>
      </c>
      <c r="E102" s="38"/>
      <c r="F102" s="38"/>
      <c r="G102" s="38"/>
      <c r="H102" s="100">
        <f>SUM(I102:J102)</f>
        <v>163473.7</v>
      </c>
      <c r="I102" s="38"/>
      <c r="J102" s="38">
        <v>163473.7</v>
      </c>
      <c r="K102" s="91"/>
      <c r="L102" s="38"/>
      <c r="M102" s="38"/>
      <c r="N102" s="38"/>
      <c r="O102" s="76">
        <f t="shared" si="25"/>
        <v>0</v>
      </c>
      <c r="P102" s="181"/>
      <c r="Q102" s="181"/>
    </row>
    <row r="103" spans="1:17" s="6" customFormat="1" ht="116.25">
      <c r="A103" s="69">
        <v>7361</v>
      </c>
      <c r="B103" s="123" t="s">
        <v>120</v>
      </c>
      <c r="C103" s="129">
        <v>1100000</v>
      </c>
      <c r="D103" s="76">
        <f t="shared" si="24"/>
        <v>1100000</v>
      </c>
      <c r="E103" s="130"/>
      <c r="F103" s="130"/>
      <c r="G103" s="130"/>
      <c r="H103" s="100">
        <f>SUM(I103:J103)</f>
        <v>1100000</v>
      </c>
      <c r="I103" s="130"/>
      <c r="J103" s="203">
        <v>1100000</v>
      </c>
      <c r="K103" s="115"/>
      <c r="L103" s="76"/>
      <c r="M103" s="76"/>
      <c r="N103" s="121"/>
      <c r="O103" s="76">
        <f t="shared" si="25"/>
        <v>0</v>
      </c>
      <c r="P103" s="191"/>
      <c r="Q103" s="191"/>
    </row>
    <row r="104" spans="1:17" s="80" customFormat="1" ht="24.75" customHeight="1">
      <c r="A104" s="54"/>
      <c r="B104" s="81" t="s">
        <v>10</v>
      </c>
      <c r="C104" s="74">
        <f aca="true" t="shared" si="28" ref="C104:Q104">SUM(C105:C105)</f>
        <v>220000</v>
      </c>
      <c r="D104" s="74">
        <f t="shared" si="28"/>
        <v>220000</v>
      </c>
      <c r="E104" s="74">
        <f t="shared" si="28"/>
        <v>0</v>
      </c>
      <c r="F104" s="74">
        <f t="shared" si="28"/>
        <v>0</v>
      </c>
      <c r="G104" s="74">
        <f t="shared" si="28"/>
        <v>0</v>
      </c>
      <c r="H104" s="74">
        <f t="shared" si="28"/>
        <v>0</v>
      </c>
      <c r="I104" s="74">
        <f t="shared" si="28"/>
        <v>0</v>
      </c>
      <c r="J104" s="74">
        <f t="shared" si="28"/>
        <v>0</v>
      </c>
      <c r="K104" s="74">
        <f t="shared" si="28"/>
        <v>0</v>
      </c>
      <c r="L104" s="74">
        <f t="shared" si="28"/>
        <v>220000</v>
      </c>
      <c r="M104" s="74">
        <f t="shared" si="28"/>
        <v>0</v>
      </c>
      <c r="N104" s="74">
        <f t="shared" si="28"/>
        <v>0</v>
      </c>
      <c r="O104" s="74">
        <f t="shared" si="28"/>
        <v>0</v>
      </c>
      <c r="P104" s="74">
        <f t="shared" si="28"/>
        <v>0</v>
      </c>
      <c r="Q104" s="74">
        <f t="shared" si="28"/>
        <v>0</v>
      </c>
    </row>
    <row r="105" spans="1:17" s="6" customFormat="1" ht="81" customHeight="1">
      <c r="A105" s="4">
        <v>2111</v>
      </c>
      <c r="B105" s="118" t="s">
        <v>47</v>
      </c>
      <c r="C105" s="38">
        <v>220000</v>
      </c>
      <c r="D105" s="76">
        <f>E105+F105+G105+K105+L105+M105+J105</f>
        <v>220000</v>
      </c>
      <c r="E105" s="35"/>
      <c r="F105" s="35"/>
      <c r="G105" s="35"/>
      <c r="H105" s="64"/>
      <c r="I105" s="35"/>
      <c r="J105" s="35"/>
      <c r="K105" s="90"/>
      <c r="L105" s="34">
        <v>220000</v>
      </c>
      <c r="M105" s="34"/>
      <c r="N105" s="121"/>
      <c r="O105" s="76">
        <f>C105-D105</f>
        <v>0</v>
      </c>
      <c r="P105" s="191"/>
      <c r="Q105" s="191"/>
    </row>
    <row r="106" spans="1:17" s="53" customFormat="1" ht="27.75" customHeight="1">
      <c r="A106" s="46"/>
      <c r="B106" s="51" t="s">
        <v>6</v>
      </c>
      <c r="C106" s="52">
        <f aca="true" t="shared" si="29" ref="C106:Q106">C93+C100+C91</f>
        <v>3986025.7</v>
      </c>
      <c r="D106" s="52">
        <f t="shared" si="29"/>
        <v>3986025.7</v>
      </c>
      <c r="E106" s="52">
        <f t="shared" si="29"/>
        <v>1661380</v>
      </c>
      <c r="F106" s="52">
        <f t="shared" si="29"/>
        <v>0</v>
      </c>
      <c r="G106" s="52">
        <f t="shared" si="29"/>
        <v>0</v>
      </c>
      <c r="H106" s="52">
        <f t="shared" si="29"/>
        <v>1828195.7</v>
      </c>
      <c r="I106" s="52">
        <f t="shared" si="29"/>
        <v>0</v>
      </c>
      <c r="J106" s="52">
        <f t="shared" si="29"/>
        <v>1828195.7</v>
      </c>
      <c r="K106" s="52">
        <f t="shared" si="29"/>
        <v>65000</v>
      </c>
      <c r="L106" s="52">
        <f t="shared" si="29"/>
        <v>220000</v>
      </c>
      <c r="M106" s="52">
        <f t="shared" si="29"/>
        <v>211450</v>
      </c>
      <c r="N106" s="52">
        <f t="shared" si="29"/>
        <v>0</v>
      </c>
      <c r="O106" s="52">
        <f t="shared" si="29"/>
        <v>0</v>
      </c>
      <c r="P106" s="52">
        <f t="shared" si="29"/>
        <v>0</v>
      </c>
      <c r="Q106" s="52">
        <f t="shared" si="29"/>
        <v>0</v>
      </c>
    </row>
    <row r="107" spans="1:17" s="56" customFormat="1" ht="27.75" customHeight="1">
      <c r="A107" s="54"/>
      <c r="B107" s="55" t="s">
        <v>8</v>
      </c>
      <c r="C107" s="33">
        <f aca="true" t="shared" si="30" ref="C107:Q107">C106+C89</f>
        <v>91717417.7</v>
      </c>
      <c r="D107" s="52">
        <f t="shared" si="30"/>
        <v>32212052.7</v>
      </c>
      <c r="E107" s="52">
        <f t="shared" si="30"/>
        <v>28221380</v>
      </c>
      <c r="F107" s="52">
        <f t="shared" si="30"/>
        <v>0</v>
      </c>
      <c r="G107" s="52">
        <f t="shared" si="30"/>
        <v>0</v>
      </c>
      <c r="H107" s="98">
        <f t="shared" si="30"/>
        <v>2252095.7</v>
      </c>
      <c r="I107" s="98">
        <f t="shared" si="30"/>
        <v>320000</v>
      </c>
      <c r="J107" s="52">
        <f t="shared" si="30"/>
        <v>1932095.7</v>
      </c>
      <c r="K107" s="110">
        <f t="shared" si="30"/>
        <v>1301381</v>
      </c>
      <c r="L107" s="52">
        <f t="shared" si="30"/>
        <v>225746</v>
      </c>
      <c r="M107" s="52">
        <f t="shared" si="30"/>
        <v>211450</v>
      </c>
      <c r="N107" s="33">
        <f t="shared" si="30"/>
        <v>1389187</v>
      </c>
      <c r="O107" s="99">
        <f t="shared" si="30"/>
        <v>59505365</v>
      </c>
      <c r="P107" s="33">
        <f t="shared" si="30"/>
        <v>43230500</v>
      </c>
      <c r="Q107" s="33">
        <f t="shared" si="30"/>
        <v>5909000</v>
      </c>
    </row>
    <row r="108" spans="1:15" s="39" customFormat="1" ht="36.75" customHeight="1">
      <c r="A108" s="42"/>
      <c r="B108" s="108"/>
      <c r="C108" s="40"/>
      <c r="D108" s="41"/>
      <c r="E108" s="41"/>
      <c r="F108" s="41"/>
      <c r="G108" s="41"/>
      <c r="H108" s="41"/>
      <c r="I108" s="41"/>
      <c r="J108" s="41"/>
      <c r="K108" s="105"/>
      <c r="L108" s="40"/>
      <c r="M108" s="40"/>
      <c r="N108" s="40"/>
      <c r="O108" s="40"/>
    </row>
    <row r="109" spans="1:15" s="9" customFormat="1" ht="26.25" customHeight="1">
      <c r="A109" s="10"/>
      <c r="B109" s="104"/>
      <c r="C109" s="27"/>
      <c r="D109" s="32"/>
      <c r="E109" s="18"/>
      <c r="F109" s="18"/>
      <c r="G109" s="18"/>
      <c r="H109" s="18"/>
      <c r="I109" s="18"/>
      <c r="J109" s="18"/>
      <c r="K109" s="106"/>
      <c r="L109" s="19"/>
      <c r="M109" s="19"/>
      <c r="N109" s="19"/>
      <c r="O109" s="72"/>
    </row>
    <row r="110" spans="1:15" s="9" customFormat="1" ht="13.5" customHeight="1">
      <c r="A110" s="11"/>
      <c r="B110" s="11"/>
      <c r="C110" s="28"/>
      <c r="D110" s="28"/>
      <c r="E110" s="12"/>
      <c r="F110" s="12"/>
      <c r="G110" s="12"/>
      <c r="H110" s="12"/>
      <c r="I110" s="12"/>
      <c r="J110" s="12"/>
      <c r="K110" s="106"/>
      <c r="L110" s="19"/>
      <c r="M110" s="19"/>
      <c r="N110" s="19"/>
      <c r="O110" s="73"/>
    </row>
    <row r="111" spans="1:15" s="9" customFormat="1" ht="22.5">
      <c r="A111" s="11"/>
      <c r="B111" s="13"/>
      <c r="C111" s="29"/>
      <c r="D111" s="28"/>
      <c r="E111" s="12"/>
      <c r="F111" s="12"/>
      <c r="G111" s="12"/>
      <c r="H111" s="12"/>
      <c r="I111" s="12"/>
      <c r="J111" s="12"/>
      <c r="K111" s="216"/>
      <c r="L111" s="216"/>
      <c r="M111" s="216"/>
      <c r="N111" s="216"/>
      <c r="O111" s="20"/>
    </row>
    <row r="112" spans="1:15" s="16" customFormat="1" ht="20.25">
      <c r="A112" s="14"/>
      <c r="B112" s="14"/>
      <c r="C112" s="30"/>
      <c r="D112" s="30"/>
      <c r="E112" s="15"/>
      <c r="F112" s="15"/>
      <c r="G112" s="15"/>
      <c r="H112" s="15"/>
      <c r="I112" s="15"/>
      <c r="J112" s="15"/>
      <c r="K112" s="85"/>
      <c r="L112" s="15"/>
      <c r="M112" s="15"/>
      <c r="N112" s="15"/>
      <c r="O112" s="21"/>
    </row>
    <row r="113" spans="7:10" ht="20.25">
      <c r="G113" s="22"/>
      <c r="H113" s="22"/>
      <c r="I113" s="22"/>
      <c r="J113" s="22"/>
    </row>
  </sheetData>
  <sheetProtection/>
  <mergeCells count="24">
    <mergeCell ref="A1:J2"/>
    <mergeCell ref="A5:D5"/>
    <mergeCell ref="F8:F9"/>
    <mergeCell ref="A7:O7"/>
    <mergeCell ref="A4:D4"/>
    <mergeCell ref="C8:C10"/>
    <mergeCell ref="D8:D10"/>
    <mergeCell ref="K111:N111"/>
    <mergeCell ref="A12:O12"/>
    <mergeCell ref="E8:E10"/>
    <mergeCell ref="A8:A10"/>
    <mergeCell ref="B8:B10"/>
    <mergeCell ref="A90:Q90"/>
    <mergeCell ref="P8:Q8"/>
    <mergeCell ref="P9:P10"/>
    <mergeCell ref="Q9:Q10"/>
    <mergeCell ref="A3:J3"/>
    <mergeCell ref="O8:O10"/>
    <mergeCell ref="L8:L10"/>
    <mergeCell ref="M8:M10"/>
    <mergeCell ref="N8:N10"/>
    <mergeCell ref="K8:K10"/>
    <mergeCell ref="H8:J8"/>
    <mergeCell ref="H9:J9"/>
  </mergeCells>
  <printOptions/>
  <pageMargins left="0.25" right="0.15" top="0.35433070866141736" bottom="0.2755905511811024" header="0.31496062992125984" footer="0.2755905511811024"/>
  <pageSetup horizontalDpi="600" verticalDpi="600" orientation="landscape" paperSize="9" scale="40" r:id="rId1"/>
  <headerFooter alignWithMargins="0">
    <oddFooter>&amp;R&amp;P</oddFooter>
  </headerFooter>
  <rowBreaks count="3" manualBreakCount="3">
    <brk id="36" max="16" man="1"/>
    <brk id="63" max="16" man="1"/>
    <brk id="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u252108</cp:lastModifiedBy>
  <cp:lastPrinted>2019-02-19T10:35:31Z</cp:lastPrinted>
  <dcterms:created xsi:type="dcterms:W3CDTF">2012-08-02T06:19:34Z</dcterms:created>
  <dcterms:modified xsi:type="dcterms:W3CDTF">2019-02-25T08:54:32Z</dcterms:modified>
  <cp:category/>
  <cp:version/>
  <cp:contentType/>
  <cp:contentStatus/>
</cp:coreProperties>
</file>