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ЗФ" sheetId="1" r:id="rId1"/>
  </sheets>
  <definedNames>
    <definedName name="_xlnm.Print_Titles" localSheetId="0">'ЗФ'!$11:$11</definedName>
    <definedName name="_xlnm.Print_Area" localSheetId="0">'ЗФ'!$A$1:$T$202</definedName>
  </definedNames>
  <calcPr fullCalcOnLoad="1"/>
</workbook>
</file>

<file path=xl/sharedStrings.xml><?xml version="1.0" encoding="utf-8"?>
<sst xmlns="http://schemas.openxmlformats.org/spreadsheetml/2006/main" count="249" uniqueCount="220">
  <si>
    <t>Державне управління</t>
  </si>
  <si>
    <t>Освіта</t>
  </si>
  <si>
    <t xml:space="preserve">Охорона здоров"я </t>
  </si>
  <si>
    <t>Загальний фонд</t>
  </si>
  <si>
    <t>Напрям використання</t>
  </si>
  <si>
    <t>Всього по ЗАГАЛЬНОМУ ФОНДУ</t>
  </si>
  <si>
    <t>Всього по СПЕЦІАЛЬНОМУ ФОНДУ</t>
  </si>
  <si>
    <t>Спеціальний фонд</t>
  </si>
  <si>
    <t xml:space="preserve">Всього </t>
  </si>
  <si>
    <t>ЦРЛ</t>
  </si>
  <si>
    <t>ЧРЦПМСД</t>
  </si>
  <si>
    <t>Культура</t>
  </si>
  <si>
    <t>перевиконання</t>
  </si>
  <si>
    <t>Соціальний захист та соціальне забезпечення</t>
  </si>
  <si>
    <t>КТКВК - КПКВК</t>
  </si>
  <si>
    <t xml:space="preserve">За рахунок залишку на котловому рахунку </t>
  </si>
  <si>
    <t xml:space="preserve">Пропозиції розпорядника </t>
  </si>
  <si>
    <t>Додаток 2</t>
  </si>
  <si>
    <t>до пояснювальної записки</t>
  </si>
  <si>
    <t xml:space="preserve">За рахунок залишку  </t>
  </si>
  <si>
    <t>Всього:</t>
  </si>
  <si>
    <t>в т.ч.на оплату праці та енергоносії</t>
  </si>
  <si>
    <t>в т.ч.інші</t>
  </si>
  <si>
    <t>На заробітну плату з нарахуваннями</t>
  </si>
  <si>
    <t>Міжбюджетні трансферти від ОТГ</t>
  </si>
  <si>
    <t>Фізкультура і спорт</t>
  </si>
  <si>
    <t>Трансферти з держбюджету</t>
  </si>
  <si>
    <t>0150</t>
  </si>
  <si>
    <t>0100</t>
  </si>
  <si>
    <t xml:space="preserve">На виплату зарплати  працівникам бібліотек М.Коцюбинської ОТГ (М.Коцюбинська сел/р) </t>
  </si>
  <si>
    <t>3112</t>
  </si>
  <si>
    <t>Залишок коштів на котловому рахунку на 01.01.2019 р. - 4 346 002,14 грн.( в т.ч. оборотна касова готівка - 100000,0 грн.), по освітній субвенції -1 212 776,11 грн., по субвенції на соц-екон.розвиток ЗФ -475 475,84 грн,  по іншим субвенціям - 155 000,0 грн, по іншим дотаціям-20 843,08 грн, по субвенції з місц.бюджету на здійсне переданих видатків у сфері охорони здоров`я за рахунок мед.субвенції з Держ.бюджету-82 119,40 грн., по субвенції за рахунок залишку коштів освітньої субвенції, що утворився на початок бюдж.періоду-7914,0 грн</t>
  </si>
  <si>
    <t xml:space="preserve"> До подальшого розгляду  на сесіях районної ради 2019 р.</t>
  </si>
  <si>
    <t>На виплату зарплати   у зв`язку з незабезпеченістю по ЗОШ (педробітники НВК, МОП)</t>
  </si>
  <si>
    <t>На заробітну плату з нарахуваннями у зв`язку з незабезпеченістю</t>
  </si>
  <si>
    <t>Енергоносії</t>
  </si>
  <si>
    <t>Терцентру на заробітну плату у зв`язку з незабезпеченістю</t>
  </si>
  <si>
    <t>На виплату зарплати  працівникам бібліотек</t>
  </si>
  <si>
    <t>в т.ч. за рахунок</t>
  </si>
  <si>
    <t>БАЗОВОЇ дотації</t>
  </si>
  <si>
    <t>ОСВІТНЬОЇ СУБВЕНЦІЇ та МЕДИЧНОЇ СУБВЕНЦІЇ</t>
  </si>
  <si>
    <t>Трансферти від сільських(селищних) бюджетів</t>
  </si>
  <si>
    <t>0180</t>
  </si>
  <si>
    <t>На оплату енергоносіїв для Киїнської амбулаторії ЗПСМ та Жавинського ФАПу-22000,0 грн, на оплату послуг телефонного та інтернет-зв`язку-1300,0 грн, на приєднання будівлі Жавинського ФАПу по вул.Іллінська,10 до системи централізованого водопостачання та виготовлення вигрібної ями для стічних вод - 35000,00 грн (Киїнська с/р)</t>
  </si>
  <si>
    <t>На оплату послуг інтернет-зв`язку по Гончарівській амбулаторії та Смолинському ФАПу (Гончарівська сел/р)</t>
  </si>
  <si>
    <t>Трансферти з обласного бюджету</t>
  </si>
  <si>
    <t>На оплату енергоносіїв (Анисівська с/р-40000,0 грн,  Мньовська с/р-9000,0 грн, Мохнатинська с/р-10000,0 грн, Н.Білоуська с/р-18617,0 грн, Серединська с/р-300,0 грн, Терехівська с/р- 600,0 грн, Седнівська с/р-30000,0 грн, Халявинська с/р-28500,0 грн)</t>
  </si>
  <si>
    <t>На придбання паливно-мастильних матеріалів (М.Коцюбинська с/р-50000,0 грн, Олишівська с/р-10000,0 грн, Іванівська с/р-10000,0 грн, Мньовська с/р-1000,0 грн, Мохнатинська с/р-2000,0 грн, Пакульська с/р-3000,0 грн, Серединська с/р- 5000,0 грн)</t>
  </si>
  <si>
    <t>Для участі сімейного лікаря Гончарівської амбулаторії ЗПСМ у навчанні (Гончарівська сел/р)</t>
  </si>
  <si>
    <t>На ремонт санітарного автомобіля Мохнатинської амбулаторії ЗПСМ (Довжицька с/р)</t>
  </si>
  <si>
    <t>На виплату премії працівникам Киїнської амбулаторії ЗПСМ та Жавинського ФАП (Киїнська с/р)</t>
  </si>
  <si>
    <t>На тех.обслуговування та перезарядку вогнегасників (Серединська с/р-400,0 грн, Терехівська с/р-250,0 грн)</t>
  </si>
  <si>
    <t>На перевірку контуру заземлення та опору ізоляції  (Серединська с/р-500,0 грн, Терехівська с/р-500,0 грн)</t>
  </si>
  <si>
    <t>Продукти харчування (Петрушинська с/р)</t>
  </si>
  <si>
    <t>Придбання обладнання для кабінету трудового навчання та  для учнів першого класу Вознесенського НВК (Вознесенська с/р)</t>
  </si>
  <si>
    <t>Придбання та встановлення віконних блоків у Довжицькому НВК (Довжицька с/р)</t>
  </si>
  <si>
    <t>На оплату вартості будівельних матеріалів для поточного ремонту приміщень Халявинської ЗОШ І-ІІІст (Петрушинська с/р)</t>
  </si>
  <si>
    <t>Для закупівлі фарби, цементу та інших будівельних матеріалів  для поточного ремонту шкільних  приміщень Халявинської ЗОШ І-ІІІст (Терехівська с/р)</t>
  </si>
  <si>
    <t>Для підтримки ФСТ „Колос”, сприяння участі в Спартакіаді (Гончарівська с/р)</t>
  </si>
  <si>
    <t xml:space="preserve">Видатки споживання субвенції з ДБ на надання держ.підтримки особам з освітніми потребами </t>
  </si>
  <si>
    <t>На закупівлю дидактичних матеріалів, музичних інструментів, сучасних меблів, комп’ютерного обладнання, відповідного мультимедійного контенту для початкових класів</t>
  </si>
  <si>
    <t>Надання державної підтримки особам з особливими освітніми потребами на оснащення кабінетів інклюзивно – ресурсних центрів</t>
  </si>
  <si>
    <t>9330</t>
  </si>
  <si>
    <t xml:space="preserve">Надання державної підтримки особам з особливими освітніми потребами у закладах дошкільної освіти для Киїнського ДНЗ </t>
  </si>
  <si>
    <t>Покращення матеріально-технічної бази  Киселівського НВК (облрада)</t>
  </si>
  <si>
    <t>Покращення матеріально-технічної бази (придбання та заміна вікон) Довжицького НВК (облрада)</t>
  </si>
  <si>
    <t>Надання адресної матеріальної допомоги Павліченко О.П., с.Киїнка, вул. Сонячна,11 -2,7 тис.грн, Павліченко О.І., с.Киїнка, вул. Сонячна,11 -2,7 тис.грн (облрада)</t>
  </si>
  <si>
    <t>Інша субвенція з обл.бюджету на виконання доручень виборців депутатами облради</t>
  </si>
  <si>
    <t>9770</t>
  </si>
  <si>
    <t>Мохнатинська сільська рада. Будинок культури. Покращення матеріально-технічної бази</t>
  </si>
  <si>
    <t>Хмільницька сільська рада. Рівнопільський дитсадок "Райдужне сяйво". Проведення заходів з пожежної безпеки</t>
  </si>
  <si>
    <t>Петрушинська сільська рада. Будинок культури. Покращення матеріально-технічної бази</t>
  </si>
  <si>
    <t>Кувечицька сільська рада. Будинок культури. Покращення матеріально-технічної бази</t>
  </si>
  <si>
    <t>Терехівська сільська рада. Будинок культури. Покращення матеріально-технічної бази</t>
  </si>
  <si>
    <t>Черниська сільська рада. Черниський будинок культури. Покращення матеріально-технічної бази</t>
  </si>
  <si>
    <t>Боромиківська сільська рада. Благоустрій с.Снов'янка</t>
  </si>
  <si>
    <t>Покращення мат.-технічної бази Роїщенського ФАПу (облрада)</t>
  </si>
  <si>
    <t>Покращення мат.-технічної бази Левковицького ФАПу (придбання обладнання) (облрада)</t>
  </si>
  <si>
    <t>Покращення матеріально-технічної бази (заміна вікон) Ковпитської ЗОШ І-ІІІст. (облрада)</t>
  </si>
  <si>
    <t>Покращення матеріально-технічної бази (заміна вікон) Дніпровської ЗОШ І-ІІІст. (облрада)</t>
  </si>
  <si>
    <t>Покращення матеріально-технічної бази Мньовської ЗОШ І-ІІІст. (облрада)</t>
  </si>
  <si>
    <t>Надання адресної матеріальної допомоги Корінь А.С. с.Дніпровське, вул. Першотравнева, 23 (облрада)</t>
  </si>
  <si>
    <t xml:space="preserve">Забезпечення діяльності інклюзивно – ресурсних центрів, Наказ  МФУ від 21.02.2019 року № 78 </t>
  </si>
  <si>
    <t>Перевиконання</t>
  </si>
  <si>
    <t>Перерозподіл</t>
  </si>
  <si>
    <t>Пропозиції по змінам   до рішення  Чернігівської районної ради  від  26 грудня 2018 року  „Про районний  бюджет на 2019 рік” , зі змінами від 26.02.2019 р.</t>
  </si>
  <si>
    <t>Надання адресної матеріальної допомоги Старчуку М.В. с.Брусилів</t>
  </si>
  <si>
    <t>Охорона приміщення (10000*8 місяців)</t>
  </si>
  <si>
    <t>Розміщення оголошень</t>
  </si>
  <si>
    <t>Завершення встановлення пандусу</t>
  </si>
  <si>
    <t>Поточний ремонт даху над великою залою 4-х поверхової будівлі</t>
  </si>
  <si>
    <t>Видатки на відрядження</t>
  </si>
  <si>
    <t>Сплата судових витрат</t>
  </si>
  <si>
    <t>Членські внески в Асоціації</t>
  </si>
  <si>
    <t>ПКД ремонту 2-х поверхової адмінбудівлі</t>
  </si>
  <si>
    <t>ПКД для проведення термомодернізації 4-х поверхової будівлі</t>
  </si>
  <si>
    <t>На оплату електроенергії в Слабинському ФП (Слабинська с/р)</t>
  </si>
  <si>
    <t>Встановлення котлів у котельні Киселівського НВК</t>
  </si>
  <si>
    <t>Встановлення котлів у котельні Редьківського НВК</t>
  </si>
  <si>
    <t>Заміна метало пластикових труб системи опалення Ст.Білоуської ЗОШ</t>
  </si>
  <si>
    <t>Заміна гідроізоляції димарів в котельні Вознесенського НВК</t>
  </si>
  <si>
    <t>Субвенція з ДБ на надання державної підтримки особам з особливими освітніми потребами</t>
  </si>
  <si>
    <t>Навчання з охорони праці</t>
  </si>
  <si>
    <t>Оплата праці бухгалтера (0,5 ст), техпрацівника (0,25ст.) інклюзивного центру</t>
  </si>
  <si>
    <t>Співфінансування субв. "Нова укр.школа"</t>
  </si>
  <si>
    <t>Затверджено спільними розпорядженнями РДА та райради</t>
  </si>
  <si>
    <t>Незабезпеченість на оплату праці централізованій бухгалтерії, господарській групі</t>
  </si>
  <si>
    <t>на основному рахунку</t>
  </si>
  <si>
    <t>Залишки освіт.субвенції</t>
  </si>
  <si>
    <t>Енергоносії по бібліотекам</t>
  </si>
  <si>
    <t>На виплату зарплати  працівникам будинків культури</t>
  </si>
  <si>
    <t>Енергоносії по будинкам культури</t>
  </si>
  <si>
    <t>Придбання бензину для кущових оглядів та у зв`язку з реорганізацією КП "РЦБС"</t>
  </si>
  <si>
    <t>На виплату зарплати  працівникам централіз. бухгалтерії</t>
  </si>
  <si>
    <t>Енергоносії по централіз. бухгалтерії</t>
  </si>
  <si>
    <t>На заробітну плату завідувачу Козерізького Фп, молодшим медичним сестрам Жеведьського та Козерізького ФП (Гончарівська с/р)</t>
  </si>
  <si>
    <t>На оплату енергоносіїв Седнівській амбулаторії ЗПСМ та Новенському ФП-6000,0 грн, на ремонт санітарного автомобіля Седнівській амбулаторії ЗПСМ-10000,0 грн, на техобслуговування та перезарядку вогнегасників (6 шт.)-700,0 грн, на перевірку контуру заземлення-1000,0 грн (Седнівська с/р)</t>
  </si>
  <si>
    <t>0191</t>
  </si>
  <si>
    <t>9620</t>
  </si>
  <si>
    <t>На закупівлю енергозберігаючих вікон для Киселівського НВК (Киселівська с/р)</t>
  </si>
  <si>
    <t>Придбання матеріалів для поточного ремонту центрального входу Вознесенського НВК (Вознесенська с/р)</t>
  </si>
  <si>
    <t>На соціальні виплати фізичним особам (Довжицька с/р-4846,0 грн,  Н.Білоуська с/р-16218,0 грн, Роїщенська с/р -12102,0 грн, Рудківська с/р-890,0 грн, Ст.Білоуська с/р-11674,0 грн, Мохнатинська с/р-11052,0 грн, Хмільницька с/р-9448,0 грн)</t>
  </si>
  <si>
    <t>На виконання програми громадських організацій інвалідів (Довжицька с/р-1191,0 грн, Н.Білоуська с/р-1274,0 грн, Роїщенська с/р-1068,0 грн, Рудківська с/р-862,0 грн, СтБілоуська с/р-2876,0 грн, Мохнатинська с/р-657,0 грн, Хмільницька с/р-1685,0 грн)</t>
  </si>
  <si>
    <t>На забезпечення ветеранської організації (Довжицька-7245,0 грн, Н.Білоуська с/р-7939,0 грн,Роїщенська с/р-3000,0 грн, Рудківська с/р-6197,0 грн, Ст. Білоуська с/р-17265,0 грн, Мохнатинська с/р-3700,0 грн, Хмільницька с/р-1804,0 грн)</t>
  </si>
  <si>
    <t>На забезпечення служби у спрвах дітей (Н.Білоуська с/р-508,0 грн, Роїщенська с/р-1016,0 грн, Ст.Білоуська-3557,0 грн, Хмільницька-508,0 грн)</t>
  </si>
  <si>
    <t>Для проведення поточного ремонту ганків у приміщенні закладу Киїнської ЗОШ (Киїнська с/р)</t>
  </si>
  <si>
    <t>Для придбання матеріалів для поточного ремонту даху у приміщенні закладу Киїнської Зош (Киїнська с/р)</t>
  </si>
  <si>
    <t>Для проведення поточного ремонту даху у приміщенні закладу Киїнської ЗОШ (Киїнська с/р)</t>
  </si>
  <si>
    <t>Субвенція з ДБ на реалізацію заходів, спрямованих на підвищення якості освіти</t>
  </si>
  <si>
    <t>На придбання пального для санітарного автомобіля Киїнської амбулаторії ЗПСМ в сумі 12000 грн., на технічне обслуговування та ремонт автомобіля в сумі 5000 грн., на придбання запчастин для автомобіля в сумі 5000 грн. та на преміювання медичних працівників в сумі 45000 грн (Киїнська с/р)</t>
  </si>
  <si>
    <t>На придбання паливно-мастильних матеріалів для забезпечення обслуговування сімейним лікарем жителів громади (Боромиківська с/р)</t>
  </si>
  <si>
    <t>На виплату заробітної плати з нарахуванням на 0,5 посади сестри медичної амбулаторії ЗПСМ з червня по грудень 2019р.в сумі 26750 грн., на придбання пального для санітарного автомобіля в сумі 15000 грн., на оплату послуг інтернет зв"язку за травень-червень 2019р. в сумі 1400 грн (Гончарівська сел/р)</t>
  </si>
  <si>
    <t>На поточний ремонт санітарного автомобіля Олишівської амбулаторії (Олишівська сел/р)</t>
  </si>
  <si>
    <t>Для проведення реконструкції системи опалення з заміною лічильника та встановлення модему передачі даних в Черниському ФАПі (Черниська с/р)</t>
  </si>
  <si>
    <t>На послуги з проектування та виготовлення проектної документації вузла обліку газу для ФАПу у с. Мньов (Мньовська с/р)</t>
  </si>
  <si>
    <t>На проведення реконструкції системи газопостачання із заміною лічильника та встановлення модему передачі даних в Смолинському ФП (Гончарівська сел/р)</t>
  </si>
  <si>
    <t>На утримання фахівця соціальної служби (Н.Білоуська с/р-30000,0 грн, Хмільницька с/р-69316,0 грн)</t>
  </si>
  <si>
    <t>На виготовлення органами ведення Державного реєстру виборців списків виборців та іменних запрошень (субвенція з Держбюджету-1100,0 грн, )</t>
  </si>
  <si>
    <t>Чернігівській районній територіальній вибочій комісії ( ін.субвенція Н.Білоуської с/р-5800,0 грн, Киїнської с/р-5100,0 грн, Хмільницької с/р-5100,0 грн)</t>
  </si>
  <si>
    <t>Для проведення поточного ремонту аварійних туалетів у приміщенні Киїнської ЗОШ та Жавинської ЗОШ (Киїнська с/р)</t>
  </si>
  <si>
    <t>Для придбання комп"ютера та необхідних засобів навчання за новими стандартами для Нової Української Школи  Жавинської ЗОШ (Киїнська с/р)</t>
  </si>
  <si>
    <t>На ремонт вікон у Ковпитській ЗОШ (Ковпитська с/р)</t>
  </si>
  <si>
    <t>Для закупівлі обладнання, здійснення монтажу та налагодження каналів передачі даних у Халявинській ЗОШ, Новобілоуській ЗОШ (Халявинська с/-50000,0 грн, Н.Білоуська с/р-161900,0 грн)</t>
  </si>
  <si>
    <t>Для забезпечення облаштування вузлів обліку природного газу у Киселівському НВК (Киселівська с/р)</t>
  </si>
  <si>
    <t>Співфінансування на облаштування санвузлів у приміщенні Брусилівської ЗОШ (Киселівська с/р)</t>
  </si>
  <si>
    <t>Співфінансування на облаштування санвузлів у приміщенні Довжицького НВК (Довжицька с/р)</t>
  </si>
  <si>
    <t>На забезпечення належних санітарно-гігієнічних умов у приміщеннях закладів загальної середньої освіти( для Брусилівської ЗОШ – 400000,0 грн та Довжицького НВК -350000,0 грн)</t>
  </si>
  <si>
    <t>8220</t>
  </si>
  <si>
    <t>Заходи та роботи з мобілізаційної підготовки місцевого значення</t>
  </si>
  <si>
    <t>Підвищення кваліфікації педпрацівників</t>
  </si>
  <si>
    <t>Субвенція з ДБ на надання пільг та житлових субсидій населенню на оплату ЖКП</t>
  </si>
  <si>
    <t>9510</t>
  </si>
  <si>
    <t>Субвенція з ДБ на здійснення заходів щодо соц.-економ. розвитку окремих територій для СтБілоуської с/р</t>
  </si>
  <si>
    <t>Обласному бюджету на медикаментозне забезпечення населення (інсулін) (Анисівська с/р-43807,98 грн, Боромиківська с/р-16658,3 грн, Вознесенська с/р-27532,18 грн, Довжицька с/р-27487,77 грн, Киїнська с/р-16357,88 грн,Киселівська с/р-46673,24 грн, Ковпитська с/р-24447,69 грн,Мньовська с/р-5821,68 грн, Мохнатинська с/р- 6419,71 грн, Н.Білоуська с/р-13070,0 грн, Петрушинська с/р-12429,8 грн, Роїщенська с/р-11509,04 грн,Серединська с/р-2716,45 грн, Слабинська с/р-6310,26 грн, Терехівська с/р - 8049,75 грн,Трисвятськослоб. с/р- 29253,0 грн, Халявинська с/р -25635,57 грн, Хмільницька с/р-20844,12грн,  Шестовицька с/р-3246,72 грн)</t>
  </si>
  <si>
    <t>Для Чернігівської районної ДЮСШ ФСТ „Колос” (М.Коцюбинська с/р-20000,0 грн, Киїнська с/р-4537,02 грн, Трисвятськослоб.с/р-14000,0 грн, Роїщенська с/р-51810,0 грн, Хмільницька с/р-31140,0 грн)</t>
  </si>
  <si>
    <t>Забезпечення облаштування вузлів обліку природного газу у Халявинській ЗОШ (Терехівська с/р)</t>
  </si>
  <si>
    <t>Придбання огорожі для Трисвятськосл. ФАП (Трисвятськослоб. с/р)</t>
  </si>
  <si>
    <t>Оплата енергоносіїв та газопостачання Анисівської абулаторії та Лукашівського ФП (Анисівська с/р)</t>
  </si>
  <si>
    <t>Поточний ремонт приміщення Пакульського ФАП (Пакульська с/р)</t>
  </si>
  <si>
    <t>На утримання районного трудового архіву (М.Коцюбинська сел/р-20000,0 грн, Довжицька -700,0 грн, Н.Білоуська с/р-12700,0 грн, Роїщенська с/р-10000,0 грн, Рудківськас/р-3000,0 грн, Серединська с/р-5000,0 грн, Ст.Білоуська с/р-1500,0 грн, Мохнатинська с/р-6700,0 грн, Хмільницька с/р-3000,0 грн)</t>
  </si>
  <si>
    <t>ГО "Черн.район.фізкультурно-спортивний клуб Колос" на зарплату-61920,0 грн, нагороди-7000,0 грн, спортінвентарь-10000,0 грн, на змагання-3000,0 грн)</t>
  </si>
  <si>
    <t>Придбання дезкамери</t>
  </si>
  <si>
    <t>Виготовлення енергетичного паспорту на 3-х поверхову будівлю головного корпусу з підвалом та додаткові роботи</t>
  </si>
  <si>
    <t>Оплата енергоносіїв на завершення опалювальн.періоду райбюджет-251145,0 грн. Крім того необхідно від ОТГ-239250,0 грн</t>
  </si>
  <si>
    <t>9150</t>
  </si>
  <si>
    <t>Дотація на сільські ради, з них:ДНЗ-664200,0 грн, заклади культури-259900,0 грн, Пісківській с/р-111400,0 грн</t>
  </si>
  <si>
    <t>Поточний ремонт шкільних приміщень Анисівської ЗОШ до нового навчального року (придбання фарби, будівельних сумішей тощо) (Анисівська с/р)</t>
  </si>
  <si>
    <t>Придбання дров</t>
  </si>
  <si>
    <t>Фільтрування системи по знезалізенню води</t>
  </si>
  <si>
    <t>Облаштування вузлів обліку газу засобами дистанційної передачі даних (Киселівський НВК-65300,0 грн,  Редьківський НВК-221300 грн, Ст.Білоуська ЗОШ-201500,0грн, Халявинська ЗОШ-91000,0 грн, Вознесенкський НВК-160500,0 грн, Кувечицька ЗОШ-163700,0 грн, Роїщенська ЗОШ-161200,0 грн, Сновянська ЗОШ-163000,0 грн, Пісківський НВК-160000,0 грн.</t>
  </si>
  <si>
    <t>Придбання канцелярського приладдя для ІРЦ</t>
  </si>
  <si>
    <t>Поточний ремонт та заправка компютерної техніки</t>
  </si>
  <si>
    <t>Визначено   РДА на сесію  серпня</t>
  </si>
  <si>
    <t>Методкабінет-зарплата з нарахуваннями</t>
  </si>
  <si>
    <t>Субвенція з ДБ на здійснення заходів щодо соц.-економ. розвитку окремих територій:</t>
  </si>
  <si>
    <t>Придбання та встановлення дитячого майданчика в с. Киїнка Чернігівського району Чернігівської області</t>
  </si>
  <si>
    <t>Реконструкція в рамках відновлення системи вуличного освітлення в с. Шестовиця Чернігівського району Чернігівської області</t>
  </si>
  <si>
    <t>Реконструкція в рамках відновлення системи вуличного освітлення в с. Рудка Чернігівського району Чернігівської області</t>
  </si>
  <si>
    <t>Придбання та встановлення дитячого майданчика в с. Кувечичі Чернігівського району Чернігівської області</t>
  </si>
  <si>
    <t>Придбання та встановлення дитячого майданчика в с. Петрушин Чернігівського району</t>
  </si>
  <si>
    <t>Придбання та встановлення вуличних тренажерів в с. Старий Білоус Чернігівського району</t>
  </si>
  <si>
    <t>Придбання та встановлення вуличних ліхтарів в с. Дніпровське Чернігівського району Чернігівської області</t>
  </si>
  <si>
    <t>Капітальній ремонт приміщення (заміна вікон та дверей) Роїщенської загальноосвітньої школи I—II ступенів Чернігівського району Чернігівської області (з виготовленням проектної документації)</t>
  </si>
  <si>
    <t>Придбання інтерактивної дошки та мультимедійного обладнання для КЗ “Седнівський навчально-виховний комплекс” Чернігівської районної ради Чернігівської області</t>
  </si>
  <si>
    <t>Придбання комп’ютерної техніки та спортивного інвентарю для Халявинської ЗОШ I—III ступенів Чернігівської районної ради Чернігівської області</t>
  </si>
  <si>
    <t>Придбання спортивного інвентарю для Пакульської ЗОШ I—III ступеней Чернігівської районної ради</t>
  </si>
  <si>
    <t>Капітальній ремонт приміщення (заміна вікон у приміщенні спортзалу) в Вознесенському навчально-виховному комплексі “загальноосвітній навчальний заклад - дошкільний навчальний заклад” Чернігівського району Чернігівської області</t>
  </si>
  <si>
    <t>Капітальній ремонт приміщення (заміна вікон) у Анисівській загальноосвітній школі I—III ступенів ім. І. Я. Франка Чернігівської районної ради Чернігівської області</t>
  </si>
  <si>
    <t>Придбання твердопаливного котлу для Пісківського навчально-виховного комплексу “загальноосвітній навчальний заклад-дошкільний навчальний заклад” Чернігівської районної ради Чернігівської області</t>
  </si>
  <si>
    <t>Повірка газового лічильника</t>
  </si>
  <si>
    <t>Повірка димоходів</t>
  </si>
  <si>
    <t>Повірка лічильника водопостачаня</t>
  </si>
  <si>
    <t>Канцтовари</t>
  </si>
  <si>
    <t>Передплата періодичних видань</t>
  </si>
  <si>
    <t>Часткового відновлення електропостачання , після пожежі</t>
  </si>
  <si>
    <t>ДЮСШ "Колос" незабезпеченість на заробітну плату -185275 грн, на енергоносії-5045 грн (3 шт.од. на півроку)</t>
  </si>
  <si>
    <t>Придбання комп`ютерної техніки для шкіл району (залишок освітн.субвенції)</t>
  </si>
  <si>
    <t>Придбання котлів для Киселівського НВК(залишок освітн.субвенції)</t>
  </si>
  <si>
    <t>Придбання котлів для Редьківського НВК(залишок освітн.субвенції)</t>
  </si>
  <si>
    <t>Придбання ламп для заміни освітлення(залишок освітн.субвенції)</t>
  </si>
  <si>
    <t>Придбання меблів(залишок освітн.субвенції)</t>
  </si>
  <si>
    <t>Капітальний ремонт приміщення ФАП в с. Лукашівка Чернігівського району (Субвенція з ДБ на соц.-ек. розвиток)</t>
  </si>
  <si>
    <t>Матеріали  25.07.2019</t>
  </si>
  <si>
    <t xml:space="preserve">Використано залишків станом на 25.07.2019 року : з котлового рахунку ЗФ - 1800 619,86 грн,  по іншим субвенціям-155 000,0 грн, з рахунку соц.-екон.розвитку ЗФ  - 475 475,84 грн,  </t>
  </si>
  <si>
    <t>Періодичні видання,марки поштові</t>
  </si>
  <si>
    <t>Охорона приміщення ((10675,0 грн.*3 міс.)</t>
  </si>
  <si>
    <t>Земельний податок, штрафи, пеня</t>
  </si>
  <si>
    <t>Невикористантий залишоки ЗФ станом на 25.07.2019 року- на котловои рахунку-2 445382,28 грн, по освітній субвенції -1 212 776,11 грн.,  по іншим дотаціям-20 843,08 грн, по субвенції з місц.бюджету на здійсне переданих видатків у сфері охорони здоров`я за рахунок мед.субвенції з Держ.бюджету-82 119,40 грн., по субвенції за рахунок залишку коштів освітньої субвенції, що утворився на початок бюдж.періоду-7914,0 грн</t>
  </si>
  <si>
    <t>ПЕРЕВИКОНАННЯ ДОХОДНОЇ ЧАСТИНИ на 01.07.2019 року - 4 986 926,92</t>
  </si>
  <si>
    <t>Співфінансування субвенції з ДБ на реалізацію заходів, спрямованих на підвищення якості освіти (Спільне розпор.10/10 від 10.07.19)</t>
  </si>
  <si>
    <t>Субвенція на проведення виборів для Киїнської с/р-237800,0 грн, Для Н.Білоуської с/р-357100,0 грн, для Хмільницької с/р-244300,0грн</t>
  </si>
  <si>
    <t>Передача Іванівської публічної бібліотеки у комунальну власність Іванівської ОТГ</t>
  </si>
  <si>
    <t>На виплату зарплати   у зв`язку з незабезпеченістю(педробітники НВК, МОП)</t>
  </si>
  <si>
    <t>Для відшкодування вартості телекомунікаційних послуг, наданих пільговим категоріям громадян (рішення суду)</t>
  </si>
  <si>
    <t>Придбання та встановлення вуличних ліхтарів в с. Петрове Чернігівського району Чернігівської області</t>
  </si>
  <si>
    <t>Закупівля препаратів наркозу</t>
  </si>
  <si>
    <t>На заробітну плату молодшій медичній сестрі Н.Білоуського ФАПу (Н.Білоуська с/р)</t>
  </si>
  <si>
    <t xml:space="preserve">КРЕДИТУВАННЯ 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</si>
  <si>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 (Н.Білоуська с/р)</t>
  </si>
  <si>
    <t>Перерозподіл призначень внаслідок економії коштів-скорочення посад  по організ.методичн. кабінету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</si>
</sst>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&quot;грн.&quot;_-;\-* #,##0.0\ &quot;грн.&quot;_-;_-* &quot;-&quot;??\ &quot;грн.&quot;_-;_-@_-"/>
    <numFmt numFmtId="181" formatCode="_-* #,##0\ &quot;грн.&quot;_-;\-* #,##0\ &quot;грн.&quot;_-;_-* &quot;-&quot;??\ &quot;грн.&quot;_-;_-@_-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#,##0_ ;[Red]\-#,##0\ "/>
    <numFmt numFmtId="192" formatCode="0.00_ ;[Red]\-0.00\ "/>
    <numFmt numFmtId="193" formatCode="[$-422]d\ mmmm\ yyyy&quot; р.&quot;"/>
    <numFmt numFmtId="194" formatCode="#,##0.0"/>
    <numFmt numFmtId="195" formatCode="#,##0.000"/>
    <numFmt numFmtId="196" formatCode="0.000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61"/>
      <name val="Times New Roman"/>
      <family val="1"/>
    </font>
    <font>
      <sz val="16"/>
      <color indexed="61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1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20"/>
      <name val="Times New Roman"/>
      <family val="1"/>
    </font>
    <font>
      <sz val="18"/>
      <color indexed="10"/>
      <name val="Times New Roman"/>
      <family val="1"/>
    </font>
    <font>
      <i/>
      <sz val="20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8"/>
      <name val="Antiqua"/>
      <family val="0"/>
    </font>
    <font>
      <i/>
      <sz val="18"/>
      <name val="Antiqu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34" fillId="7" borderId="1" applyNumberFormat="0" applyAlignment="0" applyProtection="0"/>
    <xf numFmtId="0" fontId="35" fillId="9" borderId="2" applyNumberFormat="0" applyAlignment="0" applyProtection="0"/>
    <xf numFmtId="0" fontId="36" fillId="9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3" fillId="7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8" fillId="24" borderId="0" xfId="0" applyFont="1" applyFill="1" applyBorder="1" applyAlignment="1">
      <alignment horizontal="center" vertical="top"/>
    </xf>
    <xf numFmtId="9" fontId="8" fillId="24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82" fontId="1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7" borderId="10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left" vertical="top"/>
    </xf>
    <xf numFmtId="0" fontId="3" fillId="7" borderId="10" xfId="0" applyFont="1" applyFill="1" applyBorder="1" applyAlignment="1">
      <alignment vertical="top" wrapText="1"/>
    </xf>
    <xf numFmtId="0" fontId="17" fillId="24" borderId="0" xfId="0" applyFont="1" applyFill="1" applyBorder="1" applyAlignment="1">
      <alignment horizontal="center" vertical="top"/>
    </xf>
    <xf numFmtId="9" fontId="17" fillId="24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15" fillId="0" borderId="0" xfId="0" applyFont="1" applyFill="1" applyAlignment="1">
      <alignment vertical="top"/>
    </xf>
    <xf numFmtId="0" fontId="15" fillId="25" borderId="0" xfId="0" applyFont="1" applyFill="1" applyAlignment="1">
      <alignment vertical="top"/>
    </xf>
    <xf numFmtId="0" fontId="20" fillId="7" borderId="10" xfId="0" applyFont="1" applyFill="1" applyBorder="1" applyAlignment="1">
      <alignment vertical="top"/>
    </xf>
    <xf numFmtId="0" fontId="3" fillId="25" borderId="0" xfId="0" applyFont="1" applyFill="1" applyAlignment="1">
      <alignment vertical="top"/>
    </xf>
    <xf numFmtId="0" fontId="3" fillId="22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25" borderId="0" xfId="0" applyFont="1" applyFill="1" applyAlignment="1">
      <alignment vertical="top"/>
    </xf>
    <xf numFmtId="0" fontId="20" fillId="7" borderId="10" xfId="0" applyFont="1" applyFill="1" applyBorder="1" applyAlignment="1">
      <alignment horizontal="left" vertical="top" wrapText="1"/>
    </xf>
    <xf numFmtId="4" fontId="20" fillId="7" borderId="10" xfId="0" applyNumberFormat="1" applyFont="1" applyFill="1" applyBorder="1" applyAlignment="1">
      <alignment horizontal="center" vertical="top"/>
    </xf>
    <xf numFmtId="0" fontId="20" fillId="4" borderId="0" xfId="0" applyFont="1" applyFill="1" applyAlignment="1">
      <alignment vertical="top"/>
    </xf>
    <xf numFmtId="0" fontId="20" fillId="7" borderId="10" xfId="0" applyFont="1" applyFill="1" applyBorder="1" applyAlignment="1">
      <alignment horizontal="center" vertical="top"/>
    </xf>
    <xf numFmtId="0" fontId="20" fillId="7" borderId="10" xfId="0" applyFont="1" applyFill="1" applyBorder="1" applyAlignment="1">
      <alignment horizontal="left" vertical="top"/>
    </xf>
    <xf numFmtId="0" fontId="21" fillId="4" borderId="0" xfId="0" applyFont="1" applyFill="1" applyAlignment="1">
      <alignment horizontal="center" vertical="top"/>
    </xf>
    <xf numFmtId="0" fontId="20" fillId="7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4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25" fillId="7" borderId="10" xfId="0" applyNumberFormat="1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0" fillId="25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49" fontId="20" fillId="7" borderId="10" xfId="0" applyNumberFormat="1" applyFont="1" applyFill="1" applyBorder="1" applyAlignment="1">
      <alignment vertical="top" wrapText="1"/>
    </xf>
    <xf numFmtId="0" fontId="21" fillId="25" borderId="0" xfId="0" applyFont="1" applyFill="1" applyAlignment="1">
      <alignment vertical="top"/>
    </xf>
    <xf numFmtId="3" fontId="20" fillId="7" borderId="10" xfId="0" applyNumberFormat="1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vertical="top"/>
    </xf>
    <xf numFmtId="0" fontId="1" fillId="26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11" fillId="7" borderId="0" xfId="0" applyFont="1" applyFill="1" applyAlignment="1">
      <alignment vertical="top"/>
    </xf>
    <xf numFmtId="4" fontId="3" fillId="7" borderId="10" xfId="0" applyNumberFormat="1" applyFont="1" applyFill="1" applyBorder="1" applyAlignment="1">
      <alignment horizontal="center" vertical="top" wrapText="1"/>
    </xf>
    <xf numFmtId="194" fontId="20" fillId="7" borderId="10" xfId="0" applyNumberFormat="1" applyFont="1" applyFill="1" applyBorder="1" applyAlignment="1">
      <alignment horizontal="center" vertical="top"/>
    </xf>
    <xf numFmtId="194" fontId="3" fillId="7" borderId="10" xfId="0" applyNumberFormat="1" applyFont="1" applyFill="1" applyBorder="1" applyAlignment="1">
      <alignment horizontal="center" vertical="top"/>
    </xf>
    <xf numFmtId="194" fontId="23" fillId="0" borderId="10" xfId="0" applyNumberFormat="1" applyFont="1" applyFill="1" applyBorder="1" applyAlignment="1">
      <alignment horizontal="center" vertical="top"/>
    </xf>
    <xf numFmtId="194" fontId="3" fillId="7" borderId="10" xfId="0" applyNumberFormat="1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182" fontId="2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Alignment="1">
      <alignment vertical="top" wrapText="1"/>
    </xf>
    <xf numFmtId="3" fontId="3" fillId="7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7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194" fontId="23" fillId="0" borderId="10" xfId="0" applyNumberFormat="1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/>
    </xf>
    <xf numFmtId="49" fontId="20" fillId="7" borderId="14" xfId="0" applyNumberFormat="1" applyFont="1" applyFill="1" applyBorder="1" applyAlignment="1">
      <alignment vertical="top" wrapText="1"/>
    </xf>
    <xf numFmtId="4" fontId="20" fillId="7" borderId="14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15" fillId="25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1" fillId="27" borderId="10" xfId="0" applyFont="1" applyFill="1" applyBorder="1" applyAlignment="1">
      <alignment vertical="top"/>
    </xf>
    <xf numFmtId="0" fontId="23" fillId="0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vertical="top" wrapText="1"/>
    </xf>
    <xf numFmtId="4" fontId="23" fillId="0" borderId="14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/>
    </xf>
    <xf numFmtId="0" fontId="46" fillId="0" borderId="0" xfId="0" applyFont="1" applyFill="1" applyAlignment="1">
      <alignment vertical="top"/>
    </xf>
    <xf numFmtId="0" fontId="19" fillId="7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/>
    </xf>
    <xf numFmtId="4" fontId="20" fillId="3" borderId="10" xfId="0" applyNumberFormat="1" applyFont="1" applyFill="1" applyBorder="1" applyAlignment="1">
      <alignment horizontal="center" vertical="top" wrapText="1"/>
    </xf>
    <xf numFmtId="4" fontId="23" fillId="3" borderId="10" xfId="0" applyNumberFormat="1" applyFont="1" applyFill="1" applyBorder="1" applyAlignment="1">
      <alignment horizontal="center" vertical="top"/>
    </xf>
    <xf numFmtId="4" fontId="20" fillId="3" borderId="10" xfId="0" applyNumberFormat="1" applyFont="1" applyFill="1" applyBorder="1" applyAlignment="1">
      <alignment horizontal="center" vertical="top"/>
    </xf>
    <xf numFmtId="194" fontId="20" fillId="3" borderId="10" xfId="0" applyNumberFormat="1" applyFont="1" applyFill="1" applyBorder="1" applyAlignment="1">
      <alignment horizontal="center" vertical="top"/>
    </xf>
    <xf numFmtId="4" fontId="20" fillId="3" borderId="10" xfId="0" applyNumberFormat="1" applyFont="1" applyFill="1" applyBorder="1" applyAlignment="1">
      <alignment horizontal="center" vertical="top"/>
    </xf>
    <xf numFmtId="0" fontId="14" fillId="3" borderId="10" xfId="0" applyFont="1" applyFill="1" applyBorder="1" applyAlignment="1">
      <alignment vertical="top"/>
    </xf>
    <xf numFmtId="0" fontId="14" fillId="3" borderId="0" xfId="0" applyFont="1" applyFill="1" applyAlignment="1">
      <alignment vertical="top"/>
    </xf>
    <xf numFmtId="0" fontId="3" fillId="3" borderId="10" xfId="0" applyFont="1" applyFill="1" applyBorder="1" applyAlignment="1">
      <alignment vertical="top" wrapText="1"/>
    </xf>
    <xf numFmtId="4" fontId="3" fillId="3" borderId="10" xfId="0" applyNumberFormat="1" applyFont="1" applyFill="1" applyBorder="1" applyAlignment="1">
      <alignment horizontal="center" vertical="top"/>
    </xf>
    <xf numFmtId="194" fontId="3" fillId="3" borderId="10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49" fontId="3" fillId="3" borderId="10" xfId="0" applyNumberFormat="1" applyFont="1" applyFill="1" applyBorder="1" applyAlignment="1">
      <alignment horizontal="center" vertical="top"/>
    </xf>
    <xf numFmtId="0" fontId="10" fillId="3" borderId="10" xfId="0" applyFont="1" applyFill="1" applyBorder="1" applyAlignment="1">
      <alignment wrapText="1"/>
    </xf>
    <xf numFmtId="0" fontId="20" fillId="3" borderId="10" xfId="0" applyFont="1" applyFill="1" applyBorder="1" applyAlignment="1">
      <alignment horizontal="center" vertical="top"/>
    </xf>
    <xf numFmtId="0" fontId="20" fillId="3" borderId="10" xfId="0" applyFont="1" applyFill="1" applyBorder="1" applyAlignment="1">
      <alignment vertical="top" wrapText="1"/>
    </xf>
    <xf numFmtId="4" fontId="3" fillId="3" borderId="10" xfId="0" applyNumberFormat="1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vertical="top"/>
    </xf>
    <xf numFmtId="0" fontId="11" fillId="3" borderId="0" xfId="0" applyFont="1" applyFill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3" fillId="3" borderId="10" xfId="0" applyNumberFormat="1" applyFont="1" applyFill="1" applyBorder="1" applyAlignment="1">
      <alignment vertical="top" wrapText="1"/>
    </xf>
    <xf numFmtId="4" fontId="23" fillId="3" borderId="10" xfId="0" applyNumberFormat="1" applyFont="1" applyFill="1" applyBorder="1" applyAlignment="1">
      <alignment horizontal="center" vertical="top" wrapText="1"/>
    </xf>
    <xf numFmtId="3" fontId="23" fillId="3" borderId="10" xfId="0" applyNumberFormat="1" applyFont="1" applyFill="1" applyBorder="1" applyAlignment="1">
      <alignment horizontal="center" vertical="top" wrapText="1"/>
    </xf>
    <xf numFmtId="4" fontId="23" fillId="3" borderId="10" xfId="0" applyNumberFormat="1" applyFont="1" applyFill="1" applyBorder="1" applyAlignment="1">
      <alignment horizontal="center" vertical="top" wrapText="1"/>
    </xf>
    <xf numFmtId="194" fontId="23" fillId="3" borderId="10" xfId="0" applyNumberFormat="1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vertical="top"/>
    </xf>
    <xf numFmtId="0" fontId="45" fillId="3" borderId="14" xfId="0" applyFont="1" applyFill="1" applyBorder="1" applyAlignment="1">
      <alignment horizontal="justify" vertical="center" wrapText="1"/>
    </xf>
    <xf numFmtId="49" fontId="4" fillId="3" borderId="10" xfId="0" applyNumberFormat="1" applyFont="1" applyFill="1" applyBorder="1" applyAlignment="1">
      <alignment horizontal="center" vertical="top"/>
    </xf>
    <xf numFmtId="0" fontId="3" fillId="3" borderId="10" xfId="0" applyNumberFormat="1" applyFont="1" applyFill="1" applyBorder="1" applyAlignment="1">
      <alignment vertical="top" wrapText="1"/>
    </xf>
    <xf numFmtId="194" fontId="3" fillId="3" borderId="10" xfId="0" applyNumberFormat="1" applyFont="1" applyFill="1" applyBorder="1" applyAlignment="1">
      <alignment horizontal="center" vertical="top" wrapText="1"/>
    </xf>
    <xf numFmtId="0" fontId="45" fillId="3" borderId="10" xfId="0" applyFont="1" applyFill="1" applyBorder="1" applyAlignment="1">
      <alignment vertical="center" wrapText="1"/>
    </xf>
    <xf numFmtId="4" fontId="16" fillId="3" borderId="10" xfId="0" applyNumberFormat="1" applyFont="1" applyFill="1" applyBorder="1" applyAlignment="1">
      <alignment horizontal="center" vertical="top"/>
    </xf>
    <xf numFmtId="4" fontId="15" fillId="3" borderId="10" xfId="0" applyNumberFormat="1" applyFont="1" applyFill="1" applyBorder="1" applyAlignment="1">
      <alignment horizontal="center" vertical="top"/>
    </xf>
    <xf numFmtId="4" fontId="15" fillId="3" borderId="10" xfId="0" applyNumberFormat="1" applyFont="1" applyFill="1" applyBorder="1" applyAlignment="1">
      <alignment horizontal="center" vertical="top"/>
    </xf>
    <xf numFmtId="0" fontId="9" fillId="3" borderId="10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23" fillId="3" borderId="10" xfId="0" applyFont="1" applyFill="1" applyBorder="1" applyAlignment="1">
      <alignment vertical="top" wrapText="1"/>
    </xf>
    <xf numFmtId="4" fontId="23" fillId="3" borderId="10" xfId="0" applyNumberFormat="1" applyFont="1" applyFill="1" applyBorder="1" applyAlignment="1">
      <alignment vertical="top"/>
    </xf>
    <xf numFmtId="0" fontId="45" fillId="3" borderId="15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top"/>
    </xf>
    <xf numFmtId="0" fontId="23" fillId="3" borderId="10" xfId="0" applyFont="1" applyFill="1" applyBorder="1" applyAlignment="1">
      <alignment horizontal="left" vertical="top" wrapText="1"/>
    </xf>
    <xf numFmtId="3" fontId="23" fillId="3" borderId="10" xfId="0" applyNumberFormat="1" applyFont="1" applyFill="1" applyBorder="1" applyAlignment="1">
      <alignment horizontal="center" vertical="top"/>
    </xf>
    <xf numFmtId="4" fontId="23" fillId="3" borderId="10" xfId="0" applyNumberFormat="1" applyFont="1" applyFill="1" applyBorder="1" applyAlignment="1">
      <alignment horizontal="center" vertical="top"/>
    </xf>
    <xf numFmtId="194" fontId="23" fillId="3" borderId="10" xfId="0" applyNumberFormat="1" applyFont="1" applyFill="1" applyBorder="1" applyAlignment="1">
      <alignment horizontal="center" vertical="top"/>
    </xf>
    <xf numFmtId="0" fontId="15" fillId="3" borderId="10" xfId="0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23" fillId="3" borderId="10" xfId="0" applyFont="1" applyFill="1" applyBorder="1" applyAlignment="1">
      <alignment horizontal="center" vertical="top"/>
    </xf>
    <xf numFmtId="0" fontId="45" fillId="3" borderId="1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vertical="top"/>
    </xf>
    <xf numFmtId="0" fontId="21" fillId="3" borderId="0" xfId="0" applyFont="1" applyFill="1" applyAlignment="1">
      <alignment vertical="top"/>
    </xf>
    <xf numFmtId="12" fontId="20" fillId="3" borderId="10" xfId="0" applyNumberFormat="1" applyFont="1" applyFill="1" applyBorder="1" applyAlignment="1">
      <alignment vertical="top" wrapText="1"/>
    </xf>
    <xf numFmtId="4" fontId="4" fillId="3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left" vertical="top" wrapText="1"/>
    </xf>
    <xf numFmtId="0" fontId="7" fillId="3" borderId="0" xfId="0" applyFont="1" applyFill="1" applyAlignment="1">
      <alignment vertical="top"/>
    </xf>
    <xf numFmtId="0" fontId="23" fillId="3" borderId="0" xfId="0" applyFont="1" applyFill="1" applyAlignment="1">
      <alignment vertical="top"/>
    </xf>
    <xf numFmtId="0" fontId="45" fillId="3" borderId="10" xfId="0" applyFont="1" applyFill="1" applyBorder="1" applyAlignment="1">
      <alignment wrapText="1"/>
    </xf>
    <xf numFmtId="0" fontId="23" fillId="3" borderId="14" xfId="0" applyFont="1" applyFill="1" applyBorder="1" applyAlignment="1">
      <alignment horizontal="center" vertical="top"/>
    </xf>
    <xf numFmtId="49" fontId="23" fillId="3" borderId="14" xfId="0" applyNumberFormat="1" applyFont="1" applyFill="1" applyBorder="1" applyAlignment="1">
      <alignment vertical="top" wrapText="1"/>
    </xf>
    <xf numFmtId="4" fontId="23" fillId="3" borderId="14" xfId="0" applyNumberFormat="1" applyFont="1" applyFill="1" applyBorder="1" applyAlignment="1">
      <alignment horizontal="center" vertical="top" wrapText="1"/>
    </xf>
    <xf numFmtId="0" fontId="46" fillId="3" borderId="10" xfId="0" applyFont="1" applyFill="1" applyBorder="1" applyAlignment="1">
      <alignment vertical="top"/>
    </xf>
    <xf numFmtId="0" fontId="46" fillId="3" borderId="0" xfId="0" applyFont="1" applyFill="1" applyAlignment="1">
      <alignment vertical="top"/>
    </xf>
    <xf numFmtId="49" fontId="24" fillId="3" borderId="10" xfId="0" applyNumberFormat="1" applyFont="1" applyFill="1" applyBorder="1" applyAlignment="1">
      <alignment horizontal="center" vertical="top"/>
    </xf>
    <xf numFmtId="4" fontId="25" fillId="3" borderId="10" xfId="0" applyNumberFormat="1" applyFont="1" applyFill="1" applyBorder="1" applyAlignment="1">
      <alignment horizontal="center" vertical="top" wrapText="1"/>
    </xf>
    <xf numFmtId="4" fontId="26" fillId="3" borderId="10" xfId="0" applyNumberFormat="1" applyFont="1" applyFill="1" applyBorder="1" applyAlignment="1">
      <alignment horizontal="center" vertical="top"/>
    </xf>
    <xf numFmtId="4" fontId="25" fillId="3" borderId="10" xfId="0" applyNumberFormat="1" applyFont="1" applyFill="1" applyBorder="1" applyAlignment="1">
      <alignment horizontal="center" vertical="top"/>
    </xf>
    <xf numFmtId="194" fontId="25" fillId="3" borderId="10" xfId="0" applyNumberFormat="1" applyFont="1" applyFill="1" applyBorder="1" applyAlignment="1">
      <alignment horizontal="center" vertical="top"/>
    </xf>
    <xf numFmtId="4" fontId="25" fillId="3" borderId="10" xfId="0" applyNumberFormat="1" applyFont="1" applyFill="1" applyBorder="1" applyAlignment="1">
      <alignment horizontal="center" vertical="top"/>
    </xf>
    <xf numFmtId="0" fontId="48" fillId="3" borderId="10" xfId="0" applyFont="1" applyFill="1" applyBorder="1" applyAlignment="1">
      <alignment vertical="top"/>
    </xf>
    <xf numFmtId="0" fontId="48" fillId="3" borderId="0" xfId="0" applyFont="1" applyFill="1" applyAlignment="1">
      <alignment vertical="top"/>
    </xf>
    <xf numFmtId="49" fontId="16" fillId="3" borderId="10" xfId="0" applyNumberFormat="1" applyFont="1" applyFill="1" applyBorder="1" applyAlignment="1">
      <alignment horizontal="center" vertical="top"/>
    </xf>
    <xf numFmtId="4" fontId="26" fillId="3" borderId="10" xfId="0" applyNumberFormat="1" applyFont="1" applyFill="1" applyBorder="1" applyAlignment="1">
      <alignment horizontal="center" vertical="top" wrapText="1"/>
    </xf>
    <xf numFmtId="194" fontId="26" fillId="3" borderId="10" xfId="0" applyNumberFormat="1" applyFont="1" applyFill="1" applyBorder="1" applyAlignment="1">
      <alignment horizontal="center" vertical="top"/>
    </xf>
    <xf numFmtId="4" fontId="26" fillId="3" borderId="10" xfId="0" applyNumberFormat="1" applyFont="1" applyFill="1" applyBorder="1" applyAlignment="1">
      <alignment horizontal="center" vertical="top"/>
    </xf>
    <xf numFmtId="0" fontId="49" fillId="3" borderId="10" xfId="0" applyFont="1" applyFill="1" applyBorder="1" applyAlignment="1">
      <alignment vertical="top"/>
    </xf>
    <xf numFmtId="0" fontId="49" fillId="3" borderId="0" xfId="0" applyFont="1" applyFill="1" applyAlignment="1">
      <alignment vertical="top"/>
    </xf>
    <xf numFmtId="0" fontId="47" fillId="3" borderId="16" xfId="0" applyFont="1" applyFill="1" applyBorder="1" applyAlignment="1">
      <alignment horizontal="left" vertical="top" wrapText="1"/>
    </xf>
    <xf numFmtId="0" fontId="47" fillId="3" borderId="10" xfId="0" applyFont="1" applyFill="1" applyBorder="1" applyAlignment="1">
      <alignment horizontal="left" vertical="top" wrapText="1"/>
    </xf>
    <xf numFmtId="0" fontId="20" fillId="3" borderId="10" xfId="0" applyNumberFormat="1" applyFont="1" applyFill="1" applyBorder="1" applyAlignment="1">
      <alignment vertical="top" wrapText="1"/>
    </xf>
    <xf numFmtId="0" fontId="47" fillId="3" borderId="17" xfId="0" applyFont="1" applyFill="1" applyBorder="1" applyAlignment="1">
      <alignment horizontal="left" vertical="top" wrapText="1"/>
    </xf>
    <xf numFmtId="194" fontId="23" fillId="3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wrapText="1"/>
    </xf>
    <xf numFmtId="4" fontId="22" fillId="0" borderId="0" xfId="0" applyNumberFormat="1" applyFont="1" applyBorder="1" applyAlignment="1">
      <alignment horizontal="center" vertical="top"/>
    </xf>
    <xf numFmtId="4" fontId="17" fillId="0" borderId="0" xfId="0" applyNumberFormat="1" applyFont="1" applyBorder="1" applyAlignment="1">
      <alignment horizontal="center" vertical="top"/>
    </xf>
    <xf numFmtId="4" fontId="17" fillId="24" borderId="0" xfId="0" applyNumberFormat="1" applyFont="1" applyFill="1" applyBorder="1" applyAlignment="1">
      <alignment horizontal="center" vertical="top"/>
    </xf>
    <xf numFmtId="4" fontId="22" fillId="0" borderId="0" xfId="0" applyNumberFormat="1" applyFont="1" applyFill="1" applyBorder="1" applyAlignment="1">
      <alignment horizontal="center" vertical="top"/>
    </xf>
    <xf numFmtId="182" fontId="22" fillId="0" borderId="0" xfId="0" applyNumberFormat="1" applyFont="1" applyFill="1" applyBorder="1" applyAlignment="1">
      <alignment horizontal="center" vertical="top"/>
    </xf>
    <xf numFmtId="0" fontId="45" fillId="3" borderId="14" xfId="0" applyFont="1" applyFill="1" applyBorder="1" applyAlignment="1">
      <alignment wrapText="1"/>
    </xf>
    <xf numFmtId="0" fontId="45" fillId="3" borderId="14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 quotePrefix="1">
      <alignment wrapText="1"/>
    </xf>
    <xf numFmtId="0" fontId="23" fillId="3" borderId="10" xfId="0" applyFont="1" applyFill="1" applyBorder="1" applyAlignment="1" quotePrefix="1">
      <alignment vertical="top" wrapText="1"/>
    </xf>
    <xf numFmtId="194" fontId="20" fillId="7" borderId="14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4" fontId="20" fillId="0" borderId="10" xfId="0" applyNumberFormat="1" applyFont="1" applyFill="1" applyBorder="1" applyAlignment="1">
      <alignment horizontal="center" vertical="top" wrapText="1"/>
    </xf>
    <xf numFmtId="194" fontId="20" fillId="0" borderId="10" xfId="0" applyNumberFormat="1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wrapText="1"/>
    </xf>
    <xf numFmtId="0" fontId="26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45" fillId="0" borderId="14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20" fillId="0" borderId="10" xfId="0" applyFont="1" applyFill="1" applyBorder="1" applyAlignment="1">
      <alignment vertical="top"/>
    </xf>
    <xf numFmtId="0" fontId="20" fillId="7" borderId="0" xfId="0" applyFont="1" applyFill="1" applyBorder="1" applyAlignment="1">
      <alignment horizontal="center" vertical="top"/>
    </xf>
    <xf numFmtId="0" fontId="20" fillId="7" borderId="0" xfId="0" applyFont="1" applyFill="1" applyBorder="1" applyAlignment="1">
      <alignment horizontal="left" vertical="top"/>
    </xf>
    <xf numFmtId="4" fontId="3" fillId="7" borderId="0" xfId="0" applyNumberFormat="1" applyFont="1" applyFill="1" applyBorder="1" applyAlignment="1">
      <alignment horizontal="center" vertical="top"/>
    </xf>
    <xf numFmtId="4" fontId="20" fillId="7" borderId="0" xfId="0" applyNumberFormat="1" applyFont="1" applyFill="1" applyBorder="1" applyAlignment="1">
      <alignment horizontal="center" vertical="top"/>
    </xf>
    <xf numFmtId="194" fontId="20" fillId="7" borderId="0" xfId="0" applyNumberFormat="1" applyFont="1" applyFill="1" applyBorder="1" applyAlignment="1">
      <alignment horizontal="center" vertical="top"/>
    </xf>
    <xf numFmtId="3" fontId="20" fillId="7" borderId="0" xfId="0" applyNumberFormat="1" applyFont="1" applyFill="1" applyBorder="1" applyAlignment="1">
      <alignment horizontal="center" vertical="top"/>
    </xf>
    <xf numFmtId="194" fontId="3" fillId="7" borderId="0" xfId="0" applyNumberFormat="1" applyFont="1" applyFill="1" applyBorder="1" applyAlignment="1">
      <alignment horizontal="center" vertical="top"/>
    </xf>
    <xf numFmtId="194" fontId="3" fillId="7" borderId="0" xfId="0" applyNumberFormat="1" applyFont="1" applyFill="1" applyBorder="1" applyAlignment="1">
      <alignment horizontal="center" vertical="top"/>
    </xf>
    <xf numFmtId="194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3" fontId="20" fillId="3" borderId="10" xfId="0" applyNumberFormat="1" applyFont="1" applyFill="1" applyBorder="1" applyAlignment="1">
      <alignment horizontal="center" vertical="top"/>
    </xf>
    <xf numFmtId="3" fontId="3" fillId="7" borderId="10" xfId="0" applyNumberFormat="1" applyFont="1" applyFill="1" applyBorder="1" applyAlignment="1">
      <alignment horizontal="center" vertical="top"/>
    </xf>
    <xf numFmtId="4" fontId="4" fillId="7" borderId="10" xfId="0" applyNumberFormat="1" applyFont="1" applyFill="1" applyBorder="1" applyAlignment="1">
      <alignment horizontal="center" vertical="top"/>
    </xf>
    <xf numFmtId="4" fontId="8" fillId="24" borderId="0" xfId="0" applyNumberFormat="1" applyFont="1" applyFill="1" applyBorder="1" applyAlignment="1">
      <alignment horizontal="center" vertical="top"/>
    </xf>
    <xf numFmtId="0" fontId="15" fillId="0" borderId="15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4" fontId="20" fillId="0" borderId="0" xfId="0" applyNumberFormat="1" applyFont="1" applyFill="1" applyAlignment="1">
      <alignment horizontal="left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10" fillId="27" borderId="12" xfId="0" applyFont="1" applyFill="1" applyBorder="1" applyAlignment="1">
      <alignment horizontal="center" vertical="top"/>
    </xf>
    <xf numFmtId="0" fontId="10" fillId="27" borderId="20" xfId="0" applyFont="1" applyFill="1" applyBorder="1" applyAlignment="1">
      <alignment horizontal="center" vertical="top"/>
    </xf>
    <xf numFmtId="0" fontId="10" fillId="27" borderId="21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4" fontId="23" fillId="7" borderId="10" xfId="0" applyNumberFormat="1" applyFont="1" applyFill="1" applyBorder="1" applyAlignment="1">
      <alignment horizontal="center" vertical="top"/>
    </xf>
    <xf numFmtId="4" fontId="3" fillId="3" borderId="10" xfId="0" applyNumberFormat="1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9"/>
  <sheetViews>
    <sheetView tabSelected="1" view="pageBreakPreview" zoomScale="50" zoomScaleNormal="57" zoomScaleSheetLayoutView="50" zoomScalePageLayoutView="0" workbookViewId="0" topLeftCell="A5">
      <pane xSplit="2" ySplit="8" topLeftCell="C160" activePane="bottomRight" state="frozen"/>
      <selection pane="topLeft" activeCell="A5" sqref="A5"/>
      <selection pane="topRight" activeCell="C5" sqref="C5"/>
      <selection pane="bottomLeft" activeCell="A13" sqref="A13"/>
      <selection pane="bottomRight" activeCell="B160" sqref="B160"/>
    </sheetView>
  </sheetViews>
  <sheetFormatPr defaultColWidth="9.00390625" defaultRowHeight="12.75"/>
  <cols>
    <col min="1" max="1" width="17.125" style="2" customWidth="1"/>
    <col min="2" max="2" width="74.125" style="2" customWidth="1"/>
    <col min="3" max="3" width="25.125" style="30" customWidth="1"/>
    <col min="4" max="4" width="21.625" style="30" customWidth="1"/>
    <col min="5" max="5" width="22.375" style="17" customWidth="1"/>
    <col min="6" max="6" width="0.37109375" style="17" hidden="1" customWidth="1"/>
    <col min="7" max="7" width="1.37890625" style="17" hidden="1" customWidth="1"/>
    <col min="8" max="8" width="20.75390625" style="17" customWidth="1"/>
    <col min="9" max="9" width="18.125" style="17" customWidth="1"/>
    <col min="10" max="10" width="13.125" style="17" customWidth="1"/>
    <col min="11" max="11" width="20.25390625" style="17" customWidth="1"/>
    <col min="12" max="12" width="22.875" style="17" customWidth="1"/>
    <col min="13" max="13" width="18.25390625" style="77" customWidth="1"/>
    <col min="14" max="14" width="17.875" style="17" customWidth="1"/>
    <col min="15" max="15" width="19.625" style="17" customWidth="1"/>
    <col min="16" max="16" width="20.75390625" style="17" customWidth="1"/>
    <col min="17" max="17" width="17.625" style="17" customWidth="1"/>
    <col min="18" max="18" width="20.375" style="17" customWidth="1"/>
    <col min="19" max="19" width="21.125" style="17" customWidth="1"/>
    <col min="20" max="20" width="21.25390625" style="17" customWidth="1"/>
    <col min="21" max="21" width="21.125" style="2" customWidth="1"/>
    <col min="22" max="22" width="18.25390625" style="2" customWidth="1"/>
    <col min="23" max="16384" width="9.125" style="2" customWidth="1"/>
  </cols>
  <sheetData>
    <row r="1" spans="1:20" s="23" customFormat="1" ht="30.75" customHeight="1">
      <c r="A1" s="267" t="s">
        <v>31</v>
      </c>
      <c r="B1" s="267"/>
      <c r="C1" s="267"/>
      <c r="D1" s="267"/>
      <c r="E1" s="267"/>
      <c r="F1" s="267"/>
      <c r="G1" s="267"/>
      <c r="H1" s="267"/>
      <c r="I1" s="267"/>
      <c r="J1" s="267"/>
      <c r="K1" s="182"/>
      <c r="L1" s="182"/>
      <c r="M1" s="82"/>
      <c r="S1" s="23" t="s">
        <v>17</v>
      </c>
      <c r="T1" s="58"/>
    </row>
    <row r="2" spans="1:20" s="23" customFormat="1" ht="52.5" customHeight="1" thickBo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182"/>
      <c r="L2" s="182"/>
      <c r="M2" s="82"/>
      <c r="S2" s="23" t="s">
        <v>18</v>
      </c>
      <c r="T2" s="58"/>
    </row>
    <row r="3" spans="1:20" s="23" customFormat="1" ht="49.5" customHeight="1" thickBot="1">
      <c r="A3" s="269" t="s">
        <v>208</v>
      </c>
      <c r="B3" s="269"/>
      <c r="C3" s="269"/>
      <c r="D3" s="269"/>
      <c r="E3" s="269"/>
      <c r="F3" s="269"/>
      <c r="G3" s="269"/>
      <c r="H3" s="269"/>
      <c r="I3" s="269"/>
      <c r="J3" s="269"/>
      <c r="K3" s="184"/>
      <c r="L3" s="184"/>
      <c r="M3" s="82"/>
      <c r="S3" s="40" t="s">
        <v>202</v>
      </c>
      <c r="T3" s="62"/>
    </row>
    <row r="4" spans="1:20" s="23" customFormat="1" ht="21.75" customHeight="1">
      <c r="A4" s="266" t="s">
        <v>203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T4" s="58"/>
    </row>
    <row r="5" spans="1:7" s="23" customFormat="1" ht="39.75" customHeight="1">
      <c r="A5" s="268"/>
      <c r="B5" s="268"/>
      <c r="C5" s="268"/>
      <c r="D5" s="268"/>
      <c r="E5" s="183"/>
      <c r="F5" s="183"/>
      <c r="G5" s="183"/>
    </row>
    <row r="6" spans="1:11" s="23" customFormat="1" ht="91.5" customHeight="1">
      <c r="A6" s="267" t="s">
        <v>207</v>
      </c>
      <c r="B6" s="267"/>
      <c r="C6" s="267"/>
      <c r="D6" s="267"/>
      <c r="E6" s="267"/>
      <c r="F6" s="267"/>
      <c r="G6" s="267"/>
      <c r="H6" s="267"/>
      <c r="I6" s="267"/>
      <c r="J6" s="267"/>
      <c r="K6" s="182"/>
    </row>
    <row r="7" spans="1:20" s="23" customFormat="1" ht="42.75" customHeight="1">
      <c r="A7" s="271" t="s">
        <v>85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</row>
    <row r="8" spans="1:22" ht="58.5" customHeight="1">
      <c r="A8" s="276" t="s">
        <v>14</v>
      </c>
      <c r="B8" s="279" t="s">
        <v>4</v>
      </c>
      <c r="C8" s="263" t="s">
        <v>16</v>
      </c>
      <c r="D8" s="263" t="s">
        <v>172</v>
      </c>
      <c r="E8" s="270" t="s">
        <v>83</v>
      </c>
      <c r="F8" s="270" t="s">
        <v>15</v>
      </c>
      <c r="G8" s="57"/>
      <c r="H8" s="270" t="s">
        <v>19</v>
      </c>
      <c r="I8" s="270"/>
      <c r="J8" s="270"/>
      <c r="K8" s="263" t="s">
        <v>108</v>
      </c>
      <c r="L8" s="263" t="s">
        <v>84</v>
      </c>
      <c r="M8" s="286" t="s">
        <v>41</v>
      </c>
      <c r="N8" s="263" t="s">
        <v>24</v>
      </c>
      <c r="O8" s="263" t="s">
        <v>45</v>
      </c>
      <c r="P8" s="263" t="s">
        <v>40</v>
      </c>
      <c r="Q8" s="263" t="s">
        <v>39</v>
      </c>
      <c r="R8" s="263" t="s">
        <v>26</v>
      </c>
      <c r="S8" s="263" t="s">
        <v>105</v>
      </c>
      <c r="T8" s="283" t="s">
        <v>32</v>
      </c>
      <c r="U8" s="282" t="s">
        <v>38</v>
      </c>
      <c r="V8" s="282"/>
    </row>
    <row r="9" spans="1:22" ht="60.75" customHeight="1">
      <c r="A9" s="277"/>
      <c r="B9" s="280"/>
      <c r="C9" s="264"/>
      <c r="D9" s="264"/>
      <c r="E9" s="270"/>
      <c r="F9" s="270"/>
      <c r="G9" s="89" t="s">
        <v>12</v>
      </c>
      <c r="H9" s="270" t="s">
        <v>107</v>
      </c>
      <c r="I9" s="270"/>
      <c r="J9" s="270"/>
      <c r="K9" s="264"/>
      <c r="L9" s="264"/>
      <c r="M9" s="287"/>
      <c r="N9" s="264"/>
      <c r="O9" s="264"/>
      <c r="P9" s="264"/>
      <c r="Q9" s="264"/>
      <c r="R9" s="264"/>
      <c r="S9" s="264"/>
      <c r="T9" s="284"/>
      <c r="U9" s="270" t="s">
        <v>40</v>
      </c>
      <c r="V9" s="270" t="s">
        <v>39</v>
      </c>
    </row>
    <row r="10" spans="1:22" ht="95.25" customHeight="1">
      <c r="A10" s="278"/>
      <c r="B10" s="281"/>
      <c r="C10" s="265"/>
      <c r="D10" s="265"/>
      <c r="E10" s="270"/>
      <c r="F10" s="55"/>
      <c r="G10" s="89"/>
      <c r="H10" s="57" t="s">
        <v>20</v>
      </c>
      <c r="I10" s="55" t="s">
        <v>21</v>
      </c>
      <c r="J10" s="55" t="s">
        <v>22</v>
      </c>
      <c r="K10" s="265"/>
      <c r="L10" s="265"/>
      <c r="M10" s="288"/>
      <c r="N10" s="265"/>
      <c r="O10" s="265"/>
      <c r="P10" s="265"/>
      <c r="Q10" s="265"/>
      <c r="R10" s="265"/>
      <c r="S10" s="265"/>
      <c r="T10" s="285"/>
      <c r="U10" s="270"/>
      <c r="V10" s="270"/>
    </row>
    <row r="11" spans="1:22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6">
        <v>7</v>
      </c>
      <c r="H11" s="56">
        <v>6</v>
      </c>
      <c r="I11" s="56">
        <v>7</v>
      </c>
      <c r="J11" s="63">
        <v>8</v>
      </c>
      <c r="K11" s="63">
        <v>9</v>
      </c>
      <c r="L11" s="63">
        <v>10</v>
      </c>
      <c r="M11" s="78">
        <v>11</v>
      </c>
      <c r="N11" s="3">
        <v>12</v>
      </c>
      <c r="O11" s="3">
        <v>13</v>
      </c>
      <c r="P11" s="3">
        <v>14</v>
      </c>
      <c r="Q11" s="3">
        <v>15</v>
      </c>
      <c r="R11" s="3">
        <v>16</v>
      </c>
      <c r="S11" s="3">
        <v>17</v>
      </c>
      <c r="T11" s="3">
        <v>18</v>
      </c>
      <c r="U11" s="3">
        <v>14</v>
      </c>
      <c r="V11" s="3">
        <v>15</v>
      </c>
    </row>
    <row r="12" spans="1:22" ht="19.5" customHeight="1">
      <c r="A12" s="273" t="s">
        <v>3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5"/>
      <c r="U12" s="120"/>
      <c r="V12" s="120"/>
    </row>
    <row r="13" spans="1:22" s="42" customFormat="1" ht="27.75" customHeight="1">
      <c r="A13" s="24">
        <v>10000</v>
      </c>
      <c r="B13" s="25" t="s">
        <v>0</v>
      </c>
      <c r="C13" s="49">
        <f aca="true" t="shared" si="0" ref="C13:L13">SUM(C14:C25)</f>
        <v>2206660</v>
      </c>
      <c r="D13" s="49">
        <f t="shared" si="0"/>
        <v>1118025</v>
      </c>
      <c r="E13" s="49">
        <f t="shared" si="0"/>
        <v>177025</v>
      </c>
      <c r="F13" s="49">
        <f t="shared" si="0"/>
        <v>0</v>
      </c>
      <c r="G13" s="49">
        <f t="shared" si="0"/>
        <v>0</v>
      </c>
      <c r="H13" s="49">
        <f t="shared" si="0"/>
        <v>941000</v>
      </c>
      <c r="I13" s="49">
        <f t="shared" si="0"/>
        <v>762000</v>
      </c>
      <c r="J13" s="75">
        <f t="shared" si="0"/>
        <v>179000</v>
      </c>
      <c r="K13" s="49">
        <f t="shared" si="0"/>
        <v>0</v>
      </c>
      <c r="L13" s="49">
        <f t="shared" si="0"/>
        <v>0</v>
      </c>
      <c r="M13" s="49">
        <f aca="true" t="shared" si="1" ref="M13:T13">SUM(M14:M25)</f>
        <v>0</v>
      </c>
      <c r="N13" s="49">
        <f t="shared" si="1"/>
        <v>0</v>
      </c>
      <c r="O13" s="49">
        <f t="shared" si="1"/>
        <v>0</v>
      </c>
      <c r="P13" s="49">
        <f t="shared" si="1"/>
        <v>0</v>
      </c>
      <c r="Q13" s="49">
        <f t="shared" si="1"/>
        <v>0</v>
      </c>
      <c r="R13" s="49">
        <f t="shared" si="1"/>
        <v>0</v>
      </c>
      <c r="S13" s="49">
        <f t="shared" si="1"/>
        <v>179000</v>
      </c>
      <c r="T13" s="49">
        <f t="shared" si="1"/>
        <v>1088635</v>
      </c>
      <c r="U13" s="113"/>
      <c r="V13" s="113"/>
    </row>
    <row r="14" spans="1:22" s="41" customFormat="1" ht="24.75" customHeight="1">
      <c r="A14" s="112" t="s">
        <v>27</v>
      </c>
      <c r="B14" s="103" t="s">
        <v>23</v>
      </c>
      <c r="C14" s="68">
        <v>1813635</v>
      </c>
      <c r="D14" s="68">
        <f>E14+F14+G14+M14+N14+R14+H14</f>
        <v>762000</v>
      </c>
      <c r="E14" s="68"/>
      <c r="F14" s="68"/>
      <c r="G14" s="68"/>
      <c r="H14" s="68">
        <f aca="true" t="shared" si="2" ref="H14:H19">SUM(I14:J14)</f>
        <v>762000</v>
      </c>
      <c r="I14" s="68">
        <v>762000</v>
      </c>
      <c r="J14" s="68"/>
      <c r="K14" s="68"/>
      <c r="L14" s="68"/>
      <c r="M14" s="99"/>
      <c r="N14" s="68"/>
      <c r="O14" s="68"/>
      <c r="P14" s="68"/>
      <c r="Q14" s="68"/>
      <c r="R14" s="68"/>
      <c r="S14" s="68"/>
      <c r="T14" s="87">
        <f>C14-D14</f>
        <v>1051635</v>
      </c>
      <c r="U14" s="114"/>
      <c r="V14" s="114"/>
    </row>
    <row r="15" spans="1:22" s="41" customFormat="1" ht="30.75" customHeight="1">
      <c r="A15" s="112" t="s">
        <v>27</v>
      </c>
      <c r="B15" s="103" t="s">
        <v>204</v>
      </c>
      <c r="C15" s="68">
        <v>4000</v>
      </c>
      <c r="D15" s="68">
        <f aca="true" t="shared" si="3" ref="D15:D27">E15+F15+G15+M15+N15+R15+H15</f>
        <v>0</v>
      </c>
      <c r="E15" s="68"/>
      <c r="F15" s="68"/>
      <c r="G15" s="68"/>
      <c r="H15" s="68">
        <f t="shared" si="2"/>
        <v>0</v>
      </c>
      <c r="I15" s="68"/>
      <c r="J15" s="68"/>
      <c r="K15" s="68"/>
      <c r="L15" s="68"/>
      <c r="M15" s="99"/>
      <c r="N15" s="68"/>
      <c r="O15" s="68"/>
      <c r="P15" s="68"/>
      <c r="Q15" s="68"/>
      <c r="R15" s="68"/>
      <c r="S15" s="68"/>
      <c r="T15" s="87">
        <f aca="true" t="shared" si="4" ref="T15:T25">C15-D15</f>
        <v>4000</v>
      </c>
      <c r="U15" s="114"/>
      <c r="V15" s="114"/>
    </row>
    <row r="16" spans="1:22" s="41" customFormat="1" ht="24.75" customHeight="1">
      <c r="A16" s="112" t="s">
        <v>27</v>
      </c>
      <c r="B16" s="103" t="s">
        <v>205</v>
      </c>
      <c r="C16" s="68">
        <v>32025</v>
      </c>
      <c r="D16" s="68">
        <f t="shared" si="3"/>
        <v>32025</v>
      </c>
      <c r="E16" s="68">
        <v>32025</v>
      </c>
      <c r="F16" s="68"/>
      <c r="G16" s="68"/>
      <c r="H16" s="68">
        <f t="shared" si="2"/>
        <v>0</v>
      </c>
      <c r="I16" s="68"/>
      <c r="J16" s="68"/>
      <c r="K16" s="68"/>
      <c r="L16" s="68"/>
      <c r="M16" s="99"/>
      <c r="N16" s="68"/>
      <c r="O16" s="68"/>
      <c r="P16" s="68"/>
      <c r="Q16" s="68"/>
      <c r="R16" s="68"/>
      <c r="S16" s="68"/>
      <c r="T16" s="87">
        <f t="shared" si="4"/>
        <v>0</v>
      </c>
      <c r="U16" s="114"/>
      <c r="V16" s="114"/>
    </row>
    <row r="17" spans="1:22" s="174" customFormat="1" ht="24.75" customHeight="1">
      <c r="A17" s="238" t="s">
        <v>27</v>
      </c>
      <c r="B17" s="169" t="s">
        <v>87</v>
      </c>
      <c r="C17" s="129">
        <v>99000</v>
      </c>
      <c r="D17" s="129">
        <f t="shared" si="3"/>
        <v>99000</v>
      </c>
      <c r="E17" s="129"/>
      <c r="F17" s="129"/>
      <c r="G17" s="129"/>
      <c r="H17" s="129">
        <f t="shared" si="2"/>
        <v>99000</v>
      </c>
      <c r="I17" s="129"/>
      <c r="J17" s="170">
        <v>99000</v>
      </c>
      <c r="K17" s="129"/>
      <c r="L17" s="129"/>
      <c r="M17" s="171"/>
      <c r="N17" s="129"/>
      <c r="O17" s="129"/>
      <c r="P17" s="129"/>
      <c r="Q17" s="129"/>
      <c r="R17" s="129"/>
      <c r="S17" s="129">
        <v>99000</v>
      </c>
      <c r="T17" s="172">
        <f t="shared" si="4"/>
        <v>0</v>
      </c>
      <c r="U17" s="173"/>
      <c r="V17" s="173"/>
    </row>
    <row r="18" spans="1:22" s="174" customFormat="1" ht="42.75" customHeight="1">
      <c r="A18" s="238" t="s">
        <v>27</v>
      </c>
      <c r="B18" s="169" t="s">
        <v>194</v>
      </c>
      <c r="C18" s="129">
        <v>80000</v>
      </c>
      <c r="D18" s="129">
        <f t="shared" si="3"/>
        <v>80000</v>
      </c>
      <c r="E18" s="129"/>
      <c r="F18" s="129"/>
      <c r="G18" s="129"/>
      <c r="H18" s="129">
        <f t="shared" si="2"/>
        <v>80000</v>
      </c>
      <c r="I18" s="129"/>
      <c r="J18" s="170">
        <v>80000</v>
      </c>
      <c r="K18" s="129"/>
      <c r="L18" s="129"/>
      <c r="M18" s="171"/>
      <c r="N18" s="129"/>
      <c r="O18" s="129"/>
      <c r="P18" s="129"/>
      <c r="Q18" s="129"/>
      <c r="R18" s="129"/>
      <c r="S18" s="129">
        <v>80000</v>
      </c>
      <c r="T18" s="172">
        <f t="shared" si="4"/>
        <v>0</v>
      </c>
      <c r="U18" s="173"/>
      <c r="V18" s="173"/>
    </row>
    <row r="19" spans="1:22" s="41" customFormat="1" ht="24.75" customHeight="1">
      <c r="A19" s="112" t="s">
        <v>27</v>
      </c>
      <c r="B19" s="103" t="s">
        <v>88</v>
      </c>
      <c r="C19" s="68">
        <v>3000</v>
      </c>
      <c r="D19" s="68">
        <f t="shared" si="3"/>
        <v>0</v>
      </c>
      <c r="E19" s="68"/>
      <c r="F19" s="68"/>
      <c r="G19" s="68"/>
      <c r="H19" s="68">
        <f t="shared" si="2"/>
        <v>0</v>
      </c>
      <c r="I19" s="68"/>
      <c r="J19" s="68"/>
      <c r="K19" s="68"/>
      <c r="L19" s="68"/>
      <c r="M19" s="99"/>
      <c r="N19" s="68"/>
      <c r="O19" s="68"/>
      <c r="P19" s="68"/>
      <c r="Q19" s="68"/>
      <c r="R19" s="68"/>
      <c r="S19" s="68"/>
      <c r="T19" s="87">
        <f t="shared" si="4"/>
        <v>3000</v>
      </c>
      <c r="U19" s="114"/>
      <c r="V19" s="114"/>
    </row>
    <row r="20" spans="1:22" s="41" customFormat="1" ht="24.75" customHeight="1">
      <c r="A20" s="112" t="s">
        <v>27</v>
      </c>
      <c r="B20" s="212" t="s">
        <v>89</v>
      </c>
      <c r="C20" s="68">
        <v>20000</v>
      </c>
      <c r="D20" s="68">
        <f t="shared" si="3"/>
        <v>20000</v>
      </c>
      <c r="E20" s="68">
        <v>20000</v>
      </c>
      <c r="F20" s="68"/>
      <c r="G20" s="68"/>
      <c r="H20" s="68"/>
      <c r="I20" s="68"/>
      <c r="J20" s="68"/>
      <c r="K20" s="68"/>
      <c r="L20" s="68"/>
      <c r="M20" s="99"/>
      <c r="N20" s="68"/>
      <c r="O20" s="68"/>
      <c r="P20" s="68"/>
      <c r="Q20" s="68"/>
      <c r="R20" s="68"/>
      <c r="S20" s="68"/>
      <c r="T20" s="87">
        <f t="shared" si="4"/>
        <v>0</v>
      </c>
      <c r="U20" s="114"/>
      <c r="V20" s="114"/>
    </row>
    <row r="21" spans="1:22" s="41" customFormat="1" ht="47.25" customHeight="1">
      <c r="A21" s="112" t="s">
        <v>27</v>
      </c>
      <c r="B21" s="103" t="s">
        <v>90</v>
      </c>
      <c r="C21" s="68">
        <v>122000</v>
      </c>
      <c r="D21" s="68">
        <f t="shared" si="3"/>
        <v>122000</v>
      </c>
      <c r="E21" s="68">
        <v>122000</v>
      </c>
      <c r="F21" s="68"/>
      <c r="G21" s="68"/>
      <c r="H21" s="68"/>
      <c r="I21" s="68"/>
      <c r="J21" s="68"/>
      <c r="K21" s="68"/>
      <c r="L21" s="68"/>
      <c r="M21" s="99"/>
      <c r="N21" s="68"/>
      <c r="O21" s="68"/>
      <c r="P21" s="68"/>
      <c r="Q21" s="68"/>
      <c r="R21" s="68"/>
      <c r="S21" s="68"/>
      <c r="T21" s="87">
        <f t="shared" si="4"/>
        <v>0</v>
      </c>
      <c r="U21" s="114"/>
      <c r="V21" s="114"/>
    </row>
    <row r="22" spans="1:22" s="41" customFormat="1" ht="24.75" customHeight="1">
      <c r="A22" s="112" t="s">
        <v>27</v>
      </c>
      <c r="B22" s="103" t="s">
        <v>91</v>
      </c>
      <c r="C22" s="68">
        <v>14500</v>
      </c>
      <c r="D22" s="68">
        <f t="shared" si="3"/>
        <v>0</v>
      </c>
      <c r="E22" s="68"/>
      <c r="F22" s="68"/>
      <c r="G22" s="68"/>
      <c r="H22" s="68"/>
      <c r="I22" s="68"/>
      <c r="J22" s="68"/>
      <c r="K22" s="68"/>
      <c r="L22" s="68"/>
      <c r="M22" s="99"/>
      <c r="N22" s="68"/>
      <c r="O22" s="68"/>
      <c r="P22" s="68"/>
      <c r="Q22" s="68"/>
      <c r="R22" s="68"/>
      <c r="S22" s="68"/>
      <c r="T22" s="87">
        <f t="shared" si="4"/>
        <v>14500</v>
      </c>
      <c r="U22" s="114"/>
      <c r="V22" s="114"/>
    </row>
    <row r="23" spans="1:22" s="41" customFormat="1" ht="24.75" customHeight="1">
      <c r="A23" s="112" t="s">
        <v>27</v>
      </c>
      <c r="B23" s="103" t="s">
        <v>206</v>
      </c>
      <c r="C23" s="68">
        <v>3000</v>
      </c>
      <c r="D23" s="68">
        <f t="shared" si="3"/>
        <v>3000</v>
      </c>
      <c r="E23" s="68">
        <v>3000</v>
      </c>
      <c r="F23" s="68"/>
      <c r="G23" s="68"/>
      <c r="H23" s="68"/>
      <c r="I23" s="68"/>
      <c r="J23" s="68"/>
      <c r="K23" s="68"/>
      <c r="L23" s="68"/>
      <c r="M23" s="99"/>
      <c r="N23" s="68"/>
      <c r="O23" s="68"/>
      <c r="P23" s="68"/>
      <c r="Q23" s="68"/>
      <c r="R23" s="68"/>
      <c r="S23" s="68"/>
      <c r="T23" s="87">
        <f t="shared" si="4"/>
        <v>0</v>
      </c>
      <c r="U23" s="114"/>
      <c r="V23" s="114"/>
    </row>
    <row r="24" spans="1:22" s="41" customFormat="1" ht="24.75" customHeight="1">
      <c r="A24" s="112" t="s">
        <v>27</v>
      </c>
      <c r="B24" s="103" t="s">
        <v>92</v>
      </c>
      <c r="C24" s="68">
        <v>4500</v>
      </c>
      <c r="D24" s="68">
        <f t="shared" si="3"/>
        <v>0</v>
      </c>
      <c r="E24" s="68"/>
      <c r="F24" s="68"/>
      <c r="G24" s="68"/>
      <c r="H24" s="68"/>
      <c r="I24" s="68"/>
      <c r="J24" s="68"/>
      <c r="K24" s="68"/>
      <c r="L24" s="68"/>
      <c r="M24" s="99"/>
      <c r="N24" s="68"/>
      <c r="O24" s="68"/>
      <c r="P24" s="68"/>
      <c r="Q24" s="68"/>
      <c r="R24" s="68"/>
      <c r="S24" s="68"/>
      <c r="T24" s="87">
        <f t="shared" si="4"/>
        <v>4500</v>
      </c>
      <c r="U24" s="114"/>
      <c r="V24" s="114"/>
    </row>
    <row r="25" spans="1:22" s="41" customFormat="1" ht="24.75" customHeight="1">
      <c r="A25" s="112" t="s">
        <v>27</v>
      </c>
      <c r="B25" s="103" t="s">
        <v>93</v>
      </c>
      <c r="C25" s="68">
        <v>11000</v>
      </c>
      <c r="D25" s="68">
        <f t="shared" si="3"/>
        <v>0</v>
      </c>
      <c r="E25" s="68"/>
      <c r="F25" s="68"/>
      <c r="G25" s="68"/>
      <c r="H25" s="68"/>
      <c r="I25" s="68"/>
      <c r="J25" s="68"/>
      <c r="K25" s="68"/>
      <c r="L25" s="68"/>
      <c r="M25" s="99"/>
      <c r="N25" s="68"/>
      <c r="O25" s="68"/>
      <c r="P25" s="68"/>
      <c r="Q25" s="68"/>
      <c r="R25" s="68"/>
      <c r="S25" s="68"/>
      <c r="T25" s="87">
        <f t="shared" si="4"/>
        <v>11000</v>
      </c>
      <c r="U25" s="114"/>
      <c r="V25" s="114"/>
    </row>
    <row r="26" spans="1:22" s="44" customFormat="1" ht="22.5" customHeight="1">
      <c r="A26" s="24">
        <v>10000</v>
      </c>
      <c r="B26" s="67" t="s">
        <v>1</v>
      </c>
      <c r="C26" s="85">
        <f>SUM(C27:C64)</f>
        <v>44099690</v>
      </c>
      <c r="D26" s="85">
        <f aca="true" t="shared" si="5" ref="D26:T26">SUM(D27:D64)</f>
        <v>40998395</v>
      </c>
      <c r="E26" s="85">
        <f t="shared" si="5"/>
        <v>868905</v>
      </c>
      <c r="F26" s="85">
        <f t="shared" si="5"/>
        <v>0</v>
      </c>
      <c r="G26" s="85">
        <f t="shared" si="5"/>
        <v>0</v>
      </c>
      <c r="H26" s="85">
        <f t="shared" si="5"/>
        <v>933300</v>
      </c>
      <c r="I26" s="85">
        <f t="shared" si="5"/>
        <v>933300</v>
      </c>
      <c r="J26" s="85">
        <f t="shared" si="5"/>
        <v>0</v>
      </c>
      <c r="K26" s="85">
        <f t="shared" si="5"/>
        <v>0</v>
      </c>
      <c r="L26" s="85">
        <f t="shared" si="5"/>
        <v>-141200</v>
      </c>
      <c r="M26" s="85">
        <f t="shared" si="5"/>
        <v>990859</v>
      </c>
      <c r="N26" s="85">
        <f t="shared" si="5"/>
        <v>0</v>
      </c>
      <c r="O26" s="85">
        <f t="shared" si="5"/>
        <v>405000</v>
      </c>
      <c r="P26" s="85">
        <f t="shared" si="5"/>
        <v>33544100</v>
      </c>
      <c r="Q26" s="85">
        <f t="shared" si="5"/>
        <v>4000000</v>
      </c>
      <c r="R26" s="85">
        <f t="shared" si="5"/>
        <v>256231</v>
      </c>
      <c r="S26" s="85">
        <f t="shared" si="5"/>
        <v>38896190</v>
      </c>
      <c r="T26" s="85">
        <f t="shared" si="5"/>
        <v>3101295</v>
      </c>
      <c r="U26" s="85">
        <f>SUM(U28:U64)</f>
        <v>33544100</v>
      </c>
      <c r="V26" s="85">
        <f>SUM(V28:V64)</f>
        <v>4000000</v>
      </c>
    </row>
    <row r="27" spans="1:22" s="246" customFormat="1" ht="43.5" customHeight="1">
      <c r="A27" s="102">
        <v>1020</v>
      </c>
      <c r="B27" s="105" t="s">
        <v>212</v>
      </c>
      <c r="C27" s="231">
        <v>3493600</v>
      </c>
      <c r="D27" s="68">
        <f t="shared" si="3"/>
        <v>1436080</v>
      </c>
      <c r="E27" s="245">
        <v>775780</v>
      </c>
      <c r="F27" s="231"/>
      <c r="G27" s="231"/>
      <c r="H27" s="231">
        <f>SUM(I27:J27)</f>
        <v>660300</v>
      </c>
      <c r="I27" s="231">
        <v>660300</v>
      </c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87">
        <f aca="true" t="shared" si="6" ref="T27:T59">C27-D27</f>
        <v>2057520</v>
      </c>
      <c r="U27" s="231"/>
      <c r="V27" s="231"/>
    </row>
    <row r="28" spans="1:22" s="174" customFormat="1" ht="70.5" customHeight="1">
      <c r="A28" s="168">
        <v>1020</v>
      </c>
      <c r="B28" s="165" t="s">
        <v>33</v>
      </c>
      <c r="C28" s="129">
        <v>37844100</v>
      </c>
      <c r="D28" s="129">
        <f>E28+F28+G28+M28+N28+R28+J28+O28+P28+Q28+I28+K28+L28</f>
        <v>37844100</v>
      </c>
      <c r="E28" s="129"/>
      <c r="F28" s="129"/>
      <c r="G28" s="129"/>
      <c r="H28" s="172">
        <f>SUM(I28:J28)</f>
        <v>0</v>
      </c>
      <c r="I28" s="172"/>
      <c r="J28" s="129"/>
      <c r="K28" s="129"/>
      <c r="L28" s="129"/>
      <c r="M28" s="171"/>
      <c r="N28" s="129"/>
      <c r="O28" s="129">
        <v>300000</v>
      </c>
      <c r="P28" s="173">
        <v>33544100</v>
      </c>
      <c r="Q28" s="172">
        <v>4000000</v>
      </c>
      <c r="R28" s="129"/>
      <c r="S28" s="129">
        <f>P28+Q28+R28</f>
        <v>37544100</v>
      </c>
      <c r="T28" s="172">
        <f t="shared" si="6"/>
        <v>0</v>
      </c>
      <c r="U28" s="173">
        <v>33544100</v>
      </c>
      <c r="V28" s="173">
        <v>4000000</v>
      </c>
    </row>
    <row r="29" spans="1:22" s="174" customFormat="1" ht="23.25">
      <c r="A29" s="168">
        <v>1020</v>
      </c>
      <c r="B29" s="169" t="s">
        <v>53</v>
      </c>
      <c r="C29" s="129">
        <f>6545</f>
        <v>6545</v>
      </c>
      <c r="D29" s="129">
        <f aca="true" t="shared" si="7" ref="D29:D63">E29+F29+G29+M29+N29+R29+J29+O29+P29+Q29+I29+K29+L29</f>
        <v>6545</v>
      </c>
      <c r="E29" s="170"/>
      <c r="F29" s="129"/>
      <c r="G29" s="129"/>
      <c r="H29" s="129"/>
      <c r="I29" s="129"/>
      <c r="J29" s="129"/>
      <c r="K29" s="129"/>
      <c r="L29" s="129"/>
      <c r="M29" s="171">
        <f>C29</f>
        <v>6545</v>
      </c>
      <c r="N29" s="129"/>
      <c r="O29" s="129"/>
      <c r="P29" s="129"/>
      <c r="Q29" s="129"/>
      <c r="R29" s="170"/>
      <c r="S29" s="129">
        <f>M29</f>
        <v>6545</v>
      </c>
      <c r="T29" s="172">
        <f t="shared" si="6"/>
        <v>0</v>
      </c>
      <c r="U29" s="173"/>
      <c r="V29" s="173"/>
    </row>
    <row r="30" spans="1:22" s="174" customFormat="1" ht="23.25">
      <c r="A30" s="168">
        <v>1020</v>
      </c>
      <c r="B30" s="169" t="s">
        <v>149</v>
      </c>
      <c r="C30" s="129">
        <v>7431</v>
      </c>
      <c r="D30" s="129">
        <f t="shared" si="7"/>
        <v>7431</v>
      </c>
      <c r="E30" s="170"/>
      <c r="F30" s="129"/>
      <c r="G30" s="129"/>
      <c r="H30" s="129"/>
      <c r="I30" s="129"/>
      <c r="J30" s="129"/>
      <c r="K30" s="129"/>
      <c r="L30" s="129"/>
      <c r="M30" s="171"/>
      <c r="N30" s="129"/>
      <c r="O30" s="129"/>
      <c r="P30" s="129"/>
      <c r="Q30" s="129"/>
      <c r="R30" s="170">
        <v>7431</v>
      </c>
      <c r="S30" s="129">
        <v>7431</v>
      </c>
      <c r="T30" s="172">
        <f t="shared" si="6"/>
        <v>0</v>
      </c>
      <c r="U30" s="173"/>
      <c r="V30" s="173"/>
    </row>
    <row r="31" spans="1:22" s="174" customFormat="1" ht="69.75">
      <c r="A31" s="168">
        <v>1020</v>
      </c>
      <c r="B31" s="169" t="s">
        <v>54</v>
      </c>
      <c r="C31" s="129">
        <v>8000</v>
      </c>
      <c r="D31" s="129">
        <f t="shared" si="7"/>
        <v>8000</v>
      </c>
      <c r="E31" s="170"/>
      <c r="F31" s="129"/>
      <c r="G31" s="129"/>
      <c r="H31" s="129"/>
      <c r="I31" s="129"/>
      <c r="J31" s="129"/>
      <c r="K31" s="129"/>
      <c r="L31" s="129"/>
      <c r="M31" s="171">
        <f>C31</f>
        <v>8000</v>
      </c>
      <c r="N31" s="129"/>
      <c r="O31" s="129"/>
      <c r="P31" s="129"/>
      <c r="Q31" s="129"/>
      <c r="R31" s="170"/>
      <c r="S31" s="129">
        <f>M31</f>
        <v>8000</v>
      </c>
      <c r="T31" s="172">
        <f t="shared" si="6"/>
        <v>0</v>
      </c>
      <c r="U31" s="173"/>
      <c r="V31" s="173"/>
    </row>
    <row r="32" spans="1:22" s="174" customFormat="1" ht="46.5">
      <c r="A32" s="168">
        <v>1020</v>
      </c>
      <c r="B32" s="169" t="s">
        <v>55</v>
      </c>
      <c r="C32" s="129">
        <v>30000</v>
      </c>
      <c r="D32" s="129">
        <f t="shared" si="7"/>
        <v>30000</v>
      </c>
      <c r="E32" s="170"/>
      <c r="F32" s="129"/>
      <c r="G32" s="129"/>
      <c r="H32" s="129"/>
      <c r="I32" s="129"/>
      <c r="J32" s="129"/>
      <c r="K32" s="129"/>
      <c r="L32" s="129"/>
      <c r="M32" s="171">
        <f>C32</f>
        <v>30000</v>
      </c>
      <c r="N32" s="129"/>
      <c r="O32" s="129"/>
      <c r="P32" s="129"/>
      <c r="Q32" s="129"/>
      <c r="R32" s="170"/>
      <c r="S32" s="129">
        <f>M32</f>
        <v>30000</v>
      </c>
      <c r="T32" s="172">
        <f t="shared" si="6"/>
        <v>0</v>
      </c>
      <c r="U32" s="173"/>
      <c r="V32" s="173"/>
    </row>
    <row r="33" spans="1:22" s="174" customFormat="1" ht="87" customHeight="1">
      <c r="A33" s="168">
        <v>1020</v>
      </c>
      <c r="B33" s="176" t="s">
        <v>56</v>
      </c>
      <c r="C33" s="129">
        <v>1000</v>
      </c>
      <c r="D33" s="129">
        <f t="shared" si="7"/>
        <v>1000</v>
      </c>
      <c r="E33" s="170"/>
      <c r="F33" s="129"/>
      <c r="G33" s="129"/>
      <c r="H33" s="129"/>
      <c r="I33" s="129"/>
      <c r="J33" s="129"/>
      <c r="K33" s="129"/>
      <c r="L33" s="129"/>
      <c r="M33" s="171">
        <f>C33</f>
        <v>1000</v>
      </c>
      <c r="N33" s="129"/>
      <c r="O33" s="129"/>
      <c r="P33" s="129"/>
      <c r="Q33" s="129"/>
      <c r="R33" s="170"/>
      <c r="S33" s="129">
        <f>M33</f>
        <v>1000</v>
      </c>
      <c r="T33" s="172">
        <f t="shared" si="6"/>
        <v>0</v>
      </c>
      <c r="U33" s="173"/>
      <c r="V33" s="173"/>
    </row>
    <row r="34" spans="1:22" s="174" customFormat="1" ht="117.75" customHeight="1">
      <c r="A34" s="168">
        <v>1020</v>
      </c>
      <c r="B34" s="176" t="s">
        <v>57</v>
      </c>
      <c r="C34" s="129">
        <v>10000</v>
      </c>
      <c r="D34" s="129">
        <f t="shared" si="7"/>
        <v>10000</v>
      </c>
      <c r="E34" s="170"/>
      <c r="F34" s="129"/>
      <c r="G34" s="129"/>
      <c r="H34" s="129"/>
      <c r="I34" s="129"/>
      <c r="J34" s="129"/>
      <c r="K34" s="129"/>
      <c r="L34" s="129"/>
      <c r="M34" s="171">
        <f>C34</f>
        <v>10000</v>
      </c>
      <c r="N34" s="129"/>
      <c r="O34" s="129"/>
      <c r="P34" s="129"/>
      <c r="Q34" s="129"/>
      <c r="R34" s="170"/>
      <c r="S34" s="129">
        <f>M34</f>
        <v>10000</v>
      </c>
      <c r="T34" s="172">
        <f t="shared" si="6"/>
        <v>0</v>
      </c>
      <c r="U34" s="173"/>
      <c r="V34" s="173"/>
    </row>
    <row r="35" spans="1:22" s="174" customFormat="1" ht="74.25" customHeight="1">
      <c r="A35" s="168">
        <v>1020</v>
      </c>
      <c r="B35" s="187" t="s">
        <v>78</v>
      </c>
      <c r="C35" s="129">
        <v>29000</v>
      </c>
      <c r="D35" s="129">
        <f t="shared" si="7"/>
        <v>29000</v>
      </c>
      <c r="E35" s="170"/>
      <c r="F35" s="129"/>
      <c r="G35" s="129"/>
      <c r="H35" s="129"/>
      <c r="I35" s="129"/>
      <c r="J35" s="129"/>
      <c r="K35" s="129"/>
      <c r="L35" s="129"/>
      <c r="M35" s="171"/>
      <c r="N35" s="129"/>
      <c r="O35" s="129">
        <v>29000</v>
      </c>
      <c r="P35" s="129"/>
      <c r="Q35" s="129"/>
      <c r="R35" s="170"/>
      <c r="S35" s="129">
        <f aca="true" t="shared" si="8" ref="S35:S40">O35</f>
        <v>29000</v>
      </c>
      <c r="T35" s="172">
        <f t="shared" si="6"/>
        <v>0</v>
      </c>
      <c r="U35" s="173"/>
      <c r="V35" s="173"/>
    </row>
    <row r="36" spans="1:22" s="174" customFormat="1" ht="80.25" customHeight="1">
      <c r="A36" s="168">
        <v>1020</v>
      </c>
      <c r="B36" s="187" t="s">
        <v>79</v>
      </c>
      <c r="C36" s="129">
        <v>26000</v>
      </c>
      <c r="D36" s="129">
        <f t="shared" si="7"/>
        <v>26000</v>
      </c>
      <c r="E36" s="170"/>
      <c r="F36" s="129"/>
      <c r="G36" s="129"/>
      <c r="H36" s="129"/>
      <c r="I36" s="129"/>
      <c r="J36" s="129"/>
      <c r="K36" s="129"/>
      <c r="L36" s="129"/>
      <c r="M36" s="171"/>
      <c r="N36" s="129"/>
      <c r="O36" s="129">
        <v>26000</v>
      </c>
      <c r="P36" s="129"/>
      <c r="Q36" s="129"/>
      <c r="R36" s="170"/>
      <c r="S36" s="129">
        <f t="shared" si="8"/>
        <v>26000</v>
      </c>
      <c r="T36" s="172">
        <f t="shared" si="6"/>
        <v>0</v>
      </c>
      <c r="U36" s="173"/>
      <c r="V36" s="173"/>
    </row>
    <row r="37" spans="1:22" s="174" customFormat="1" ht="63.75" customHeight="1">
      <c r="A37" s="168">
        <v>1020</v>
      </c>
      <c r="B37" s="187" t="s">
        <v>80</v>
      </c>
      <c r="C37" s="129">
        <v>20000</v>
      </c>
      <c r="D37" s="129">
        <f t="shared" si="7"/>
        <v>20000</v>
      </c>
      <c r="E37" s="170"/>
      <c r="F37" s="129"/>
      <c r="G37" s="129"/>
      <c r="H37" s="129"/>
      <c r="I37" s="129"/>
      <c r="J37" s="129"/>
      <c r="K37" s="129"/>
      <c r="L37" s="129"/>
      <c r="M37" s="171"/>
      <c r="N37" s="129"/>
      <c r="O37" s="129">
        <v>20000</v>
      </c>
      <c r="P37" s="129"/>
      <c r="Q37" s="129"/>
      <c r="R37" s="170"/>
      <c r="S37" s="129">
        <f t="shared" si="8"/>
        <v>20000</v>
      </c>
      <c r="T37" s="172">
        <f t="shared" si="6"/>
        <v>0</v>
      </c>
      <c r="U37" s="173"/>
      <c r="V37" s="173"/>
    </row>
    <row r="38" spans="1:22" s="174" customFormat="1" ht="84" customHeight="1">
      <c r="A38" s="168">
        <v>1020</v>
      </c>
      <c r="B38" s="187" t="s">
        <v>65</v>
      </c>
      <c r="C38" s="129">
        <v>15000</v>
      </c>
      <c r="D38" s="129">
        <f t="shared" si="7"/>
        <v>15000</v>
      </c>
      <c r="E38" s="170"/>
      <c r="F38" s="129"/>
      <c r="G38" s="129"/>
      <c r="H38" s="129"/>
      <c r="I38" s="129"/>
      <c r="J38" s="129"/>
      <c r="K38" s="129"/>
      <c r="L38" s="129"/>
      <c r="M38" s="171"/>
      <c r="N38" s="129"/>
      <c r="O38" s="129">
        <v>15000</v>
      </c>
      <c r="P38" s="129"/>
      <c r="Q38" s="129"/>
      <c r="R38" s="170"/>
      <c r="S38" s="129">
        <f t="shared" si="8"/>
        <v>15000</v>
      </c>
      <c r="T38" s="172">
        <f t="shared" si="6"/>
        <v>0</v>
      </c>
      <c r="U38" s="173"/>
      <c r="V38" s="173"/>
    </row>
    <row r="39" spans="1:22" s="174" customFormat="1" ht="23.25" hidden="1">
      <c r="A39" s="168"/>
      <c r="B39" s="169"/>
      <c r="C39" s="129"/>
      <c r="D39" s="129">
        <f t="shared" si="7"/>
        <v>0</v>
      </c>
      <c r="E39" s="170"/>
      <c r="F39" s="129"/>
      <c r="G39" s="129"/>
      <c r="H39" s="129"/>
      <c r="I39" s="129"/>
      <c r="J39" s="129"/>
      <c r="K39" s="129"/>
      <c r="L39" s="129"/>
      <c r="M39" s="171"/>
      <c r="N39" s="129"/>
      <c r="O39" s="129"/>
      <c r="P39" s="129"/>
      <c r="Q39" s="129"/>
      <c r="R39" s="170"/>
      <c r="S39" s="129">
        <f t="shared" si="8"/>
        <v>0</v>
      </c>
      <c r="T39" s="172"/>
      <c r="U39" s="173"/>
      <c r="V39" s="173"/>
    </row>
    <row r="40" spans="1:22" s="174" customFormat="1" ht="52.5">
      <c r="A40" s="168">
        <v>1020</v>
      </c>
      <c r="B40" s="187" t="s">
        <v>64</v>
      </c>
      <c r="C40" s="129">
        <v>15000</v>
      </c>
      <c r="D40" s="129">
        <f t="shared" si="7"/>
        <v>15000</v>
      </c>
      <c r="E40" s="170"/>
      <c r="F40" s="129"/>
      <c r="G40" s="129"/>
      <c r="H40" s="129"/>
      <c r="I40" s="129"/>
      <c r="J40" s="129"/>
      <c r="K40" s="129"/>
      <c r="L40" s="129"/>
      <c r="M40" s="171"/>
      <c r="N40" s="129"/>
      <c r="O40" s="129">
        <v>15000</v>
      </c>
      <c r="P40" s="129"/>
      <c r="Q40" s="129"/>
      <c r="R40" s="170"/>
      <c r="S40" s="129">
        <f t="shared" si="8"/>
        <v>15000</v>
      </c>
      <c r="T40" s="172">
        <f t="shared" si="6"/>
        <v>0</v>
      </c>
      <c r="U40" s="173"/>
      <c r="V40" s="173"/>
    </row>
    <row r="41" spans="1:22" s="174" customFormat="1" ht="75" customHeight="1">
      <c r="A41" s="168">
        <v>1020</v>
      </c>
      <c r="B41" s="176" t="s">
        <v>119</v>
      </c>
      <c r="C41" s="129">
        <v>200000</v>
      </c>
      <c r="D41" s="129">
        <f>E41+F41+G41+M41+N41+R41+J41+O41+P41+Q41+I41+K41+L41</f>
        <v>200000</v>
      </c>
      <c r="E41" s="170"/>
      <c r="F41" s="129"/>
      <c r="G41" s="129"/>
      <c r="H41" s="129"/>
      <c r="I41" s="129"/>
      <c r="J41" s="129"/>
      <c r="K41" s="129"/>
      <c r="L41" s="129"/>
      <c r="M41" s="171">
        <v>200000</v>
      </c>
      <c r="N41" s="129"/>
      <c r="O41" s="129"/>
      <c r="P41" s="129"/>
      <c r="Q41" s="129"/>
      <c r="R41" s="170"/>
      <c r="S41" s="129">
        <v>200000</v>
      </c>
      <c r="T41" s="172">
        <f t="shared" si="6"/>
        <v>0</v>
      </c>
      <c r="U41" s="173"/>
      <c r="V41" s="173"/>
    </row>
    <row r="42" spans="1:22" s="174" customFormat="1" ht="78.75">
      <c r="A42" s="168">
        <v>1020</v>
      </c>
      <c r="B42" s="224" t="s">
        <v>120</v>
      </c>
      <c r="C42" s="129">
        <v>20000</v>
      </c>
      <c r="D42" s="129">
        <f>E42+F42+G42+M42+N42+R42+J42+O42+P42+Q42+I42+K42+L42</f>
        <v>20000</v>
      </c>
      <c r="E42" s="170"/>
      <c r="F42" s="129"/>
      <c r="G42" s="129"/>
      <c r="H42" s="129"/>
      <c r="I42" s="129"/>
      <c r="J42" s="129"/>
      <c r="K42" s="129"/>
      <c r="L42" s="129"/>
      <c r="M42" s="171">
        <v>20000</v>
      </c>
      <c r="N42" s="129"/>
      <c r="O42" s="129"/>
      <c r="P42" s="129"/>
      <c r="Q42" s="129"/>
      <c r="R42" s="170"/>
      <c r="S42" s="129">
        <v>20000</v>
      </c>
      <c r="T42" s="172">
        <f t="shared" si="6"/>
        <v>0</v>
      </c>
      <c r="U42" s="173"/>
      <c r="V42" s="173"/>
    </row>
    <row r="43" spans="1:22" s="174" customFormat="1" ht="78.75">
      <c r="A43" s="168">
        <v>1020</v>
      </c>
      <c r="B43" s="176" t="s">
        <v>125</v>
      </c>
      <c r="C43" s="129">
        <v>67514</v>
      </c>
      <c r="D43" s="129">
        <f aca="true" t="shared" si="9" ref="D43:D48">E43+F43+G43+M43+N43+R43+J43+O43+P43+Q43+I43+K43+L43</f>
        <v>67514</v>
      </c>
      <c r="E43" s="170"/>
      <c r="F43" s="129"/>
      <c r="G43" s="129"/>
      <c r="H43" s="129"/>
      <c r="I43" s="129"/>
      <c r="J43" s="129"/>
      <c r="K43" s="129"/>
      <c r="L43" s="129"/>
      <c r="M43" s="171">
        <f>C43</f>
        <v>67514</v>
      </c>
      <c r="N43" s="129"/>
      <c r="O43" s="129"/>
      <c r="P43" s="129"/>
      <c r="Q43" s="129"/>
      <c r="R43" s="170"/>
      <c r="S43" s="129">
        <f aca="true" t="shared" si="10" ref="S43:S48">M43</f>
        <v>67514</v>
      </c>
      <c r="T43" s="172">
        <f t="shared" si="6"/>
        <v>0</v>
      </c>
      <c r="U43" s="173"/>
      <c r="V43" s="173"/>
    </row>
    <row r="44" spans="1:22" s="174" customFormat="1" ht="78.75">
      <c r="A44" s="168">
        <v>1020</v>
      </c>
      <c r="B44" s="176" t="s">
        <v>126</v>
      </c>
      <c r="C44" s="129">
        <v>199900</v>
      </c>
      <c r="D44" s="129">
        <f t="shared" si="9"/>
        <v>199900</v>
      </c>
      <c r="E44" s="170"/>
      <c r="F44" s="129"/>
      <c r="G44" s="129"/>
      <c r="H44" s="129"/>
      <c r="I44" s="129"/>
      <c r="J44" s="129"/>
      <c r="K44" s="129"/>
      <c r="L44" s="129"/>
      <c r="M44" s="171">
        <f>C44</f>
        <v>199900</v>
      </c>
      <c r="N44" s="129"/>
      <c r="O44" s="129"/>
      <c r="P44" s="129"/>
      <c r="Q44" s="129"/>
      <c r="R44" s="170"/>
      <c r="S44" s="129">
        <f t="shared" si="10"/>
        <v>199900</v>
      </c>
      <c r="T44" s="172">
        <f t="shared" si="6"/>
        <v>0</v>
      </c>
      <c r="U44" s="173"/>
      <c r="V44" s="173"/>
    </row>
    <row r="45" spans="1:22" s="174" customFormat="1" ht="78.75">
      <c r="A45" s="168">
        <v>1020</v>
      </c>
      <c r="B45" s="176" t="s">
        <v>127</v>
      </c>
      <c r="C45" s="129">
        <v>199900</v>
      </c>
      <c r="D45" s="129">
        <f t="shared" si="9"/>
        <v>199900</v>
      </c>
      <c r="E45" s="170"/>
      <c r="F45" s="129"/>
      <c r="G45" s="129"/>
      <c r="H45" s="129"/>
      <c r="I45" s="129"/>
      <c r="J45" s="129"/>
      <c r="K45" s="129"/>
      <c r="L45" s="129"/>
      <c r="M45" s="171">
        <f>C45</f>
        <v>199900</v>
      </c>
      <c r="N45" s="129"/>
      <c r="O45" s="129"/>
      <c r="P45" s="129"/>
      <c r="Q45" s="129"/>
      <c r="R45" s="170"/>
      <c r="S45" s="129">
        <f t="shared" si="10"/>
        <v>199900</v>
      </c>
      <c r="T45" s="172">
        <f t="shared" si="6"/>
        <v>0</v>
      </c>
      <c r="U45" s="173"/>
      <c r="V45" s="173"/>
    </row>
    <row r="46" spans="1:22" s="174" customFormat="1" ht="75" customHeight="1">
      <c r="A46" s="168">
        <v>1020</v>
      </c>
      <c r="B46" s="225" t="s">
        <v>139</v>
      </c>
      <c r="C46" s="129">
        <v>200000</v>
      </c>
      <c r="D46" s="129">
        <f t="shared" si="9"/>
        <v>200000</v>
      </c>
      <c r="E46" s="170"/>
      <c r="F46" s="129"/>
      <c r="G46" s="129"/>
      <c r="H46" s="129"/>
      <c r="I46" s="129"/>
      <c r="J46" s="129"/>
      <c r="K46" s="129"/>
      <c r="L46" s="129"/>
      <c r="M46" s="171">
        <v>200000</v>
      </c>
      <c r="N46" s="129"/>
      <c r="O46" s="129"/>
      <c r="P46" s="129"/>
      <c r="Q46" s="129"/>
      <c r="R46" s="170"/>
      <c r="S46" s="129">
        <f t="shared" si="10"/>
        <v>200000</v>
      </c>
      <c r="T46" s="172">
        <f t="shared" si="6"/>
        <v>0</v>
      </c>
      <c r="U46" s="173"/>
      <c r="V46" s="173"/>
    </row>
    <row r="47" spans="1:22" s="174" customFormat="1" ht="52.5">
      <c r="A47" s="168">
        <v>1020</v>
      </c>
      <c r="B47" s="225" t="s">
        <v>141</v>
      </c>
      <c r="C47" s="129">
        <v>40000</v>
      </c>
      <c r="D47" s="129">
        <f t="shared" si="9"/>
        <v>40000</v>
      </c>
      <c r="E47" s="170"/>
      <c r="F47" s="129"/>
      <c r="G47" s="129"/>
      <c r="H47" s="129"/>
      <c r="I47" s="129"/>
      <c r="J47" s="129"/>
      <c r="K47" s="129"/>
      <c r="L47" s="129"/>
      <c r="M47" s="171">
        <v>40000</v>
      </c>
      <c r="N47" s="129"/>
      <c r="O47" s="129"/>
      <c r="P47" s="129"/>
      <c r="Q47" s="129"/>
      <c r="R47" s="170"/>
      <c r="S47" s="129">
        <f t="shared" si="10"/>
        <v>40000</v>
      </c>
      <c r="T47" s="172">
        <f>C47-D47</f>
        <v>0</v>
      </c>
      <c r="U47" s="173"/>
      <c r="V47" s="173"/>
    </row>
    <row r="48" spans="1:22" s="174" customFormat="1" ht="114.75" customHeight="1">
      <c r="A48" s="168">
        <v>1020</v>
      </c>
      <c r="B48" s="176" t="s">
        <v>166</v>
      </c>
      <c r="C48" s="129">
        <v>8000</v>
      </c>
      <c r="D48" s="129">
        <f t="shared" si="9"/>
        <v>8000</v>
      </c>
      <c r="E48" s="170"/>
      <c r="F48" s="129"/>
      <c r="G48" s="129"/>
      <c r="H48" s="129"/>
      <c r="I48" s="129"/>
      <c r="J48" s="129"/>
      <c r="K48" s="129"/>
      <c r="L48" s="129"/>
      <c r="M48" s="171">
        <v>8000</v>
      </c>
      <c r="N48" s="129"/>
      <c r="O48" s="129"/>
      <c r="P48" s="129"/>
      <c r="Q48" s="129"/>
      <c r="R48" s="170"/>
      <c r="S48" s="129">
        <f t="shared" si="10"/>
        <v>8000</v>
      </c>
      <c r="T48" s="172">
        <f>C48-D48</f>
        <v>0</v>
      </c>
      <c r="U48" s="173"/>
      <c r="V48" s="173"/>
    </row>
    <row r="49" spans="1:22" s="41" customFormat="1" ht="52.5">
      <c r="A49" s="102">
        <v>1020</v>
      </c>
      <c r="B49" s="215" t="s">
        <v>97</v>
      </c>
      <c r="C49" s="68">
        <v>75000</v>
      </c>
      <c r="D49" s="68">
        <f t="shared" si="7"/>
        <v>0</v>
      </c>
      <c r="E49" s="68"/>
      <c r="F49" s="68"/>
      <c r="G49" s="68"/>
      <c r="H49" s="68">
        <f aca="true" t="shared" si="11" ref="H49:H55">SUM(I49:J49)</f>
        <v>0</v>
      </c>
      <c r="I49" s="68"/>
      <c r="J49" s="68"/>
      <c r="K49" s="68"/>
      <c r="L49" s="68"/>
      <c r="M49" s="99"/>
      <c r="N49" s="68"/>
      <c r="O49" s="68"/>
      <c r="P49" s="68"/>
      <c r="Q49" s="68"/>
      <c r="R49" s="100"/>
      <c r="S49" s="101"/>
      <c r="T49" s="87">
        <f t="shared" si="6"/>
        <v>75000</v>
      </c>
      <c r="U49" s="114"/>
      <c r="V49" s="114"/>
    </row>
    <row r="50" spans="1:22" s="41" customFormat="1" ht="47.25" customHeight="1">
      <c r="A50" s="102">
        <v>1020</v>
      </c>
      <c r="B50" s="215" t="s">
        <v>98</v>
      </c>
      <c r="C50" s="68">
        <v>75000</v>
      </c>
      <c r="D50" s="68">
        <f t="shared" si="7"/>
        <v>75000</v>
      </c>
      <c r="E50" s="68">
        <v>75000</v>
      </c>
      <c r="F50" s="68"/>
      <c r="G50" s="68"/>
      <c r="H50" s="68">
        <f t="shared" si="11"/>
        <v>0</v>
      </c>
      <c r="I50" s="68"/>
      <c r="J50" s="68"/>
      <c r="K50" s="68"/>
      <c r="L50" s="68"/>
      <c r="M50" s="99"/>
      <c r="N50" s="68"/>
      <c r="O50" s="68"/>
      <c r="P50" s="68"/>
      <c r="Q50" s="68"/>
      <c r="R50" s="100"/>
      <c r="S50" s="101"/>
      <c r="T50" s="87">
        <f t="shared" si="6"/>
        <v>0</v>
      </c>
      <c r="U50" s="114"/>
      <c r="V50" s="114"/>
    </row>
    <row r="51" spans="1:22" s="41" customFormat="1" ht="52.5">
      <c r="A51" s="102">
        <v>1020</v>
      </c>
      <c r="B51" s="215" t="s">
        <v>99</v>
      </c>
      <c r="C51" s="68">
        <v>8000</v>
      </c>
      <c r="D51" s="68">
        <f t="shared" si="7"/>
        <v>0</v>
      </c>
      <c r="E51" s="68"/>
      <c r="F51" s="68"/>
      <c r="G51" s="68"/>
      <c r="H51" s="68">
        <f t="shared" si="11"/>
        <v>0</v>
      </c>
      <c r="I51" s="68"/>
      <c r="J51" s="68"/>
      <c r="K51" s="68"/>
      <c r="L51" s="68"/>
      <c r="M51" s="99"/>
      <c r="N51" s="68"/>
      <c r="O51" s="68"/>
      <c r="P51" s="68"/>
      <c r="Q51" s="68"/>
      <c r="R51" s="100"/>
      <c r="S51" s="101"/>
      <c r="T51" s="87">
        <f t="shared" si="6"/>
        <v>8000</v>
      </c>
      <c r="U51" s="114"/>
      <c r="V51" s="114"/>
    </row>
    <row r="52" spans="1:22" s="41" customFormat="1" ht="52.5">
      <c r="A52" s="102">
        <v>1020</v>
      </c>
      <c r="B52" s="215" t="s">
        <v>100</v>
      </c>
      <c r="C52" s="68">
        <v>5000</v>
      </c>
      <c r="D52" s="68">
        <f t="shared" si="7"/>
        <v>0</v>
      </c>
      <c r="E52" s="68"/>
      <c r="F52" s="68"/>
      <c r="G52" s="68"/>
      <c r="H52" s="68">
        <f t="shared" si="11"/>
        <v>0</v>
      </c>
      <c r="I52" s="68"/>
      <c r="J52" s="68"/>
      <c r="K52" s="68"/>
      <c r="L52" s="68"/>
      <c r="M52" s="99"/>
      <c r="N52" s="68"/>
      <c r="O52" s="68"/>
      <c r="P52" s="68"/>
      <c r="Q52" s="68"/>
      <c r="R52" s="100"/>
      <c r="S52" s="101"/>
      <c r="T52" s="87">
        <f t="shared" si="6"/>
        <v>5000</v>
      </c>
      <c r="U52" s="114"/>
      <c r="V52" s="114"/>
    </row>
    <row r="53" spans="1:22" s="41" customFormat="1" ht="52.5">
      <c r="A53" s="102">
        <v>1020</v>
      </c>
      <c r="B53" s="215" t="s">
        <v>168</v>
      </c>
      <c r="C53" s="68">
        <v>350000</v>
      </c>
      <c r="D53" s="68">
        <f t="shared" si="7"/>
        <v>0</v>
      </c>
      <c r="E53" s="68"/>
      <c r="F53" s="68"/>
      <c r="G53" s="68"/>
      <c r="H53" s="68">
        <f t="shared" si="11"/>
        <v>0</v>
      </c>
      <c r="I53" s="68"/>
      <c r="J53" s="68"/>
      <c r="K53" s="68"/>
      <c r="L53" s="68"/>
      <c r="M53" s="99"/>
      <c r="N53" s="68"/>
      <c r="O53" s="68"/>
      <c r="P53" s="68"/>
      <c r="Q53" s="68"/>
      <c r="R53" s="100"/>
      <c r="S53" s="101"/>
      <c r="T53" s="87">
        <f t="shared" si="6"/>
        <v>350000</v>
      </c>
      <c r="U53" s="114"/>
      <c r="V53" s="114"/>
    </row>
    <row r="54" spans="1:22" s="41" customFormat="1" ht="26.25">
      <c r="A54" s="102">
        <v>1020</v>
      </c>
      <c r="B54" s="215" t="s">
        <v>167</v>
      </c>
      <c r="C54" s="68">
        <v>287000</v>
      </c>
      <c r="D54" s="68">
        <f t="shared" si="7"/>
        <v>0</v>
      </c>
      <c r="E54" s="68"/>
      <c r="F54" s="68"/>
      <c r="G54" s="68"/>
      <c r="H54" s="68">
        <f t="shared" si="11"/>
        <v>0</v>
      </c>
      <c r="I54" s="68"/>
      <c r="J54" s="68"/>
      <c r="K54" s="68"/>
      <c r="L54" s="68"/>
      <c r="M54" s="99"/>
      <c r="N54" s="68"/>
      <c r="O54" s="68"/>
      <c r="P54" s="68"/>
      <c r="Q54" s="68"/>
      <c r="R54" s="100"/>
      <c r="S54" s="101"/>
      <c r="T54" s="87">
        <f t="shared" si="6"/>
        <v>287000</v>
      </c>
      <c r="U54" s="114"/>
      <c r="V54" s="114"/>
    </row>
    <row r="55" spans="1:22" s="41" customFormat="1" ht="26.25">
      <c r="A55" s="102">
        <v>1020</v>
      </c>
      <c r="B55" s="215" t="s">
        <v>102</v>
      </c>
      <c r="C55" s="68">
        <v>10500</v>
      </c>
      <c r="D55" s="68">
        <f t="shared" si="7"/>
        <v>10500</v>
      </c>
      <c r="E55" s="68">
        <v>10500</v>
      </c>
      <c r="F55" s="68"/>
      <c r="G55" s="68"/>
      <c r="H55" s="68">
        <f t="shared" si="11"/>
        <v>0</v>
      </c>
      <c r="I55" s="68"/>
      <c r="J55" s="68"/>
      <c r="K55" s="68"/>
      <c r="L55" s="68"/>
      <c r="M55" s="99"/>
      <c r="N55" s="68"/>
      <c r="O55" s="68"/>
      <c r="P55" s="68"/>
      <c r="Q55" s="68"/>
      <c r="R55" s="100"/>
      <c r="S55" s="101"/>
      <c r="T55" s="87">
        <f t="shared" si="6"/>
        <v>0</v>
      </c>
      <c r="U55" s="114"/>
      <c r="V55" s="114"/>
    </row>
    <row r="56" spans="1:22" s="174" customFormat="1" ht="134.25" customHeight="1">
      <c r="A56" s="168">
        <v>1020</v>
      </c>
      <c r="B56" s="176" t="s">
        <v>60</v>
      </c>
      <c r="C56" s="129">
        <v>390000</v>
      </c>
      <c r="D56" s="129">
        <f t="shared" si="7"/>
        <v>390000</v>
      </c>
      <c r="E56" s="129"/>
      <c r="F56" s="129"/>
      <c r="G56" s="129"/>
      <c r="H56" s="129">
        <f aca="true" t="shared" si="12" ref="H56:H64">SUM(I56:J56)</f>
        <v>0</v>
      </c>
      <c r="I56" s="129"/>
      <c r="J56" s="129"/>
      <c r="K56" s="129"/>
      <c r="L56" s="129"/>
      <c r="M56" s="171"/>
      <c r="N56" s="129"/>
      <c r="O56" s="129"/>
      <c r="P56" s="129"/>
      <c r="Q56" s="129"/>
      <c r="R56" s="170">
        <v>390000</v>
      </c>
      <c r="S56" s="170">
        <f>R56</f>
        <v>390000</v>
      </c>
      <c r="T56" s="172">
        <f t="shared" si="6"/>
        <v>0</v>
      </c>
      <c r="U56" s="173"/>
      <c r="V56" s="173"/>
    </row>
    <row r="57" spans="1:22" s="174" customFormat="1" ht="86.25" customHeight="1">
      <c r="A57" s="168">
        <v>1020</v>
      </c>
      <c r="B57" s="176" t="s">
        <v>59</v>
      </c>
      <c r="C57" s="129">
        <v>-141200</v>
      </c>
      <c r="D57" s="129">
        <f>E57+F57+G57+M57+N57+J57+O57+P57+Q57+I57+K57+L57</f>
        <v>-141200</v>
      </c>
      <c r="E57" s="129"/>
      <c r="F57" s="129"/>
      <c r="G57" s="129"/>
      <c r="H57" s="129">
        <f t="shared" si="12"/>
        <v>0</v>
      </c>
      <c r="I57" s="129"/>
      <c r="J57" s="129"/>
      <c r="K57" s="129"/>
      <c r="L57" s="129">
        <v>-141200</v>
      </c>
      <c r="M57" s="171"/>
      <c r="N57" s="129"/>
      <c r="O57" s="129"/>
      <c r="P57" s="129"/>
      <c r="Q57" s="129"/>
      <c r="R57" s="170">
        <v>-141200</v>
      </c>
      <c r="S57" s="175">
        <v>-141200</v>
      </c>
      <c r="T57" s="129">
        <f t="shared" si="6"/>
        <v>0</v>
      </c>
      <c r="U57" s="173"/>
      <c r="V57" s="173"/>
    </row>
    <row r="58" spans="1:22" s="41" customFormat="1" ht="48.75" customHeight="1">
      <c r="A58" s="102">
        <v>1150</v>
      </c>
      <c r="B58" s="215" t="s">
        <v>173</v>
      </c>
      <c r="C58" s="68">
        <f>57700+16300</f>
        <v>74000</v>
      </c>
      <c r="D58" s="68">
        <f t="shared" si="7"/>
        <v>38900</v>
      </c>
      <c r="E58" s="68"/>
      <c r="F58" s="68"/>
      <c r="G58" s="68"/>
      <c r="H58" s="68">
        <f>I58+J58</f>
        <v>38900</v>
      </c>
      <c r="I58" s="68">
        <v>38900</v>
      </c>
      <c r="J58" s="68"/>
      <c r="K58" s="68"/>
      <c r="L58" s="68"/>
      <c r="M58" s="99"/>
      <c r="N58" s="68"/>
      <c r="O58" s="68"/>
      <c r="P58" s="68"/>
      <c r="Q58" s="68"/>
      <c r="R58" s="100"/>
      <c r="S58" s="101"/>
      <c r="T58" s="68">
        <f t="shared" si="6"/>
        <v>35100</v>
      </c>
      <c r="U58" s="114"/>
      <c r="V58" s="114"/>
    </row>
    <row r="59" spans="1:22" s="41" customFormat="1" ht="69.75" customHeight="1">
      <c r="A59" s="102">
        <v>1161</v>
      </c>
      <c r="B59" s="215" t="s">
        <v>106</v>
      </c>
      <c r="C59" s="68">
        <f>353000+73000</f>
        <v>426000</v>
      </c>
      <c r="D59" s="68">
        <f t="shared" si="7"/>
        <v>223900</v>
      </c>
      <c r="E59" s="68"/>
      <c r="F59" s="68"/>
      <c r="G59" s="68"/>
      <c r="H59" s="68">
        <f t="shared" si="12"/>
        <v>223900</v>
      </c>
      <c r="I59" s="68">
        <v>223900</v>
      </c>
      <c r="J59" s="68"/>
      <c r="K59" s="68"/>
      <c r="L59" s="68"/>
      <c r="M59" s="99"/>
      <c r="N59" s="68"/>
      <c r="O59" s="68"/>
      <c r="P59" s="68"/>
      <c r="Q59" s="68"/>
      <c r="R59" s="100"/>
      <c r="S59" s="101"/>
      <c r="T59" s="68">
        <f t="shared" si="6"/>
        <v>202100</v>
      </c>
      <c r="U59" s="114"/>
      <c r="V59" s="114"/>
    </row>
    <row r="60" spans="1:22" s="174" customFormat="1" ht="86.25" customHeight="1">
      <c r="A60" s="168">
        <v>1161</v>
      </c>
      <c r="B60" s="187" t="s">
        <v>82</v>
      </c>
      <c r="C60" s="129">
        <v>-1242219.55</v>
      </c>
      <c r="D60" s="129">
        <f t="shared" si="7"/>
        <v>-1242219.55</v>
      </c>
      <c r="E60" s="129"/>
      <c r="F60" s="129"/>
      <c r="G60" s="129"/>
      <c r="H60" s="129">
        <f t="shared" si="12"/>
        <v>0</v>
      </c>
      <c r="I60" s="129"/>
      <c r="J60" s="129"/>
      <c r="K60" s="129"/>
      <c r="L60" s="129">
        <f>C60</f>
        <v>-1242219.55</v>
      </c>
      <c r="M60" s="171"/>
      <c r="N60" s="129"/>
      <c r="O60" s="129"/>
      <c r="P60" s="129"/>
      <c r="Q60" s="129"/>
      <c r="R60" s="170"/>
      <c r="S60" s="175"/>
      <c r="T60" s="172">
        <f aca="true" t="shared" si="13" ref="T60:T71">C60-D60</f>
        <v>0</v>
      </c>
      <c r="U60" s="173"/>
      <c r="V60" s="173"/>
    </row>
    <row r="61" spans="1:22" s="41" customFormat="1" ht="53.25" customHeight="1">
      <c r="A61" s="102">
        <v>1170</v>
      </c>
      <c r="B61" s="218" t="s">
        <v>103</v>
      </c>
      <c r="C61" s="68">
        <f>15100+4300</f>
        <v>19400</v>
      </c>
      <c r="D61" s="68">
        <f t="shared" si="7"/>
        <v>10200</v>
      </c>
      <c r="E61" s="68"/>
      <c r="F61" s="68"/>
      <c r="G61" s="68"/>
      <c r="H61" s="68">
        <f t="shared" si="12"/>
        <v>10200</v>
      </c>
      <c r="I61" s="68">
        <v>10200</v>
      </c>
      <c r="J61" s="68"/>
      <c r="K61" s="68"/>
      <c r="L61" s="68"/>
      <c r="M61" s="99"/>
      <c r="N61" s="68"/>
      <c r="O61" s="68"/>
      <c r="P61" s="68"/>
      <c r="Q61" s="68"/>
      <c r="R61" s="100"/>
      <c r="S61" s="101"/>
      <c r="T61" s="68">
        <f t="shared" si="13"/>
        <v>9200</v>
      </c>
      <c r="U61" s="114"/>
      <c r="V61" s="114"/>
    </row>
    <row r="62" spans="1:22" s="41" customFormat="1" ht="39.75" customHeight="1">
      <c r="A62" s="102">
        <v>1170</v>
      </c>
      <c r="B62" s="218" t="s">
        <v>170</v>
      </c>
      <c r="C62" s="68">
        <v>30000</v>
      </c>
      <c r="D62" s="68">
        <f t="shared" si="7"/>
        <v>7625</v>
      </c>
      <c r="E62" s="68">
        <v>7625</v>
      </c>
      <c r="F62" s="68"/>
      <c r="G62" s="68"/>
      <c r="H62" s="68"/>
      <c r="I62" s="68"/>
      <c r="J62" s="68"/>
      <c r="K62" s="68"/>
      <c r="L62" s="68"/>
      <c r="M62" s="99"/>
      <c r="N62" s="68"/>
      <c r="O62" s="68"/>
      <c r="P62" s="68"/>
      <c r="Q62" s="68"/>
      <c r="R62" s="100"/>
      <c r="S62" s="101"/>
      <c r="T62" s="68">
        <f t="shared" si="13"/>
        <v>22375</v>
      </c>
      <c r="U62" s="114"/>
      <c r="V62" s="114"/>
    </row>
    <row r="63" spans="1:22" s="41" customFormat="1" ht="57.75" customHeight="1">
      <c r="A63" s="102">
        <v>1170</v>
      </c>
      <c r="B63" s="218" t="s">
        <v>171</v>
      </c>
      <c r="C63" s="68">
        <v>50000</v>
      </c>
      <c r="D63" s="68">
        <f t="shared" si="7"/>
        <v>0</v>
      </c>
      <c r="E63" s="68"/>
      <c r="F63" s="68"/>
      <c r="G63" s="68"/>
      <c r="H63" s="68"/>
      <c r="I63" s="68"/>
      <c r="J63" s="68"/>
      <c r="K63" s="68"/>
      <c r="L63" s="68"/>
      <c r="M63" s="99"/>
      <c r="N63" s="68"/>
      <c r="O63" s="68"/>
      <c r="P63" s="68"/>
      <c r="Q63" s="68"/>
      <c r="R63" s="100"/>
      <c r="S63" s="101"/>
      <c r="T63" s="68">
        <f t="shared" si="13"/>
        <v>50000</v>
      </c>
      <c r="U63" s="114"/>
      <c r="V63" s="114"/>
    </row>
    <row r="64" spans="1:22" s="174" customFormat="1" ht="81.75" customHeight="1">
      <c r="A64" s="168">
        <v>1170</v>
      </c>
      <c r="B64" s="187" t="s">
        <v>82</v>
      </c>
      <c r="C64" s="129">
        <v>1242219.55</v>
      </c>
      <c r="D64" s="129">
        <f>E64+F64+G64+M64+N64+R64+J64+O64+P64+Q64+L64</f>
        <v>1242219.55</v>
      </c>
      <c r="E64" s="170"/>
      <c r="F64" s="129"/>
      <c r="G64" s="129"/>
      <c r="H64" s="129">
        <f t="shared" si="12"/>
        <v>0</v>
      </c>
      <c r="I64" s="129"/>
      <c r="J64" s="129"/>
      <c r="K64" s="129"/>
      <c r="L64" s="129">
        <f>C64</f>
        <v>1242219.55</v>
      </c>
      <c r="M64" s="171"/>
      <c r="N64" s="129"/>
      <c r="O64" s="129"/>
      <c r="P64" s="129"/>
      <c r="Q64" s="129"/>
      <c r="R64" s="129"/>
      <c r="S64" s="211"/>
      <c r="T64" s="129">
        <f t="shared" si="13"/>
        <v>0</v>
      </c>
      <c r="U64" s="173"/>
      <c r="V64" s="173"/>
    </row>
    <row r="65" spans="1:22" s="71" customFormat="1" ht="24" customHeight="1">
      <c r="A65" s="51">
        <v>20000</v>
      </c>
      <c r="B65" s="67" t="s">
        <v>2</v>
      </c>
      <c r="C65" s="86">
        <f aca="true" t="shared" si="14" ref="C65:S65">C66+C72</f>
        <v>17806892</v>
      </c>
      <c r="D65" s="86">
        <f t="shared" si="14"/>
        <v>15820747</v>
      </c>
      <c r="E65" s="86">
        <f t="shared" si="14"/>
        <v>3507000</v>
      </c>
      <c r="F65" s="86">
        <f t="shared" si="14"/>
        <v>0</v>
      </c>
      <c r="G65" s="86">
        <f t="shared" si="14"/>
        <v>0</v>
      </c>
      <c r="H65" s="86">
        <f t="shared" si="14"/>
        <v>0</v>
      </c>
      <c r="I65" s="86">
        <f t="shared" si="14"/>
        <v>0</v>
      </c>
      <c r="J65" s="86">
        <f t="shared" si="14"/>
        <v>0</v>
      </c>
      <c r="K65" s="86">
        <f t="shared" si="14"/>
        <v>0</v>
      </c>
      <c r="L65" s="86">
        <f t="shared" si="14"/>
        <v>0</v>
      </c>
      <c r="M65" s="86">
        <f t="shared" si="14"/>
        <v>524447</v>
      </c>
      <c r="N65" s="86">
        <f t="shared" si="14"/>
        <v>181900</v>
      </c>
      <c r="O65" s="86">
        <f t="shared" si="14"/>
        <v>12000</v>
      </c>
      <c r="P65" s="86">
        <f t="shared" si="14"/>
        <v>9686400</v>
      </c>
      <c r="Q65" s="86">
        <f t="shared" si="14"/>
        <v>1909000</v>
      </c>
      <c r="R65" s="86">
        <f t="shared" si="14"/>
        <v>0</v>
      </c>
      <c r="S65" s="86">
        <f t="shared" si="14"/>
        <v>526047</v>
      </c>
      <c r="T65" s="49">
        <f t="shared" si="13"/>
        <v>1986145</v>
      </c>
      <c r="U65" s="86">
        <f>U66+U72</f>
        <v>9686400</v>
      </c>
      <c r="V65" s="86">
        <f>V66+V72</f>
        <v>1909000</v>
      </c>
    </row>
    <row r="66" spans="1:22" s="45" customFormat="1" ht="18.75" customHeight="1">
      <c r="A66" s="24">
        <v>2010</v>
      </c>
      <c r="B66" s="26" t="s">
        <v>9</v>
      </c>
      <c r="C66" s="86">
        <f>SUM(C67:C71)</f>
        <v>16837400</v>
      </c>
      <c r="D66" s="86">
        <f aca="true" t="shared" si="15" ref="D66:T66">SUM(D67:D71)</f>
        <v>14970400</v>
      </c>
      <c r="E66" s="86">
        <f t="shared" si="15"/>
        <v>3375000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86">
        <f t="shared" si="15"/>
        <v>0</v>
      </c>
      <c r="P66" s="86">
        <f t="shared" si="15"/>
        <v>9686400</v>
      </c>
      <c r="Q66" s="86">
        <f t="shared" si="15"/>
        <v>1909000</v>
      </c>
      <c r="R66" s="86">
        <f t="shared" si="15"/>
        <v>0</v>
      </c>
      <c r="S66" s="86">
        <f t="shared" si="15"/>
        <v>0</v>
      </c>
      <c r="T66" s="86">
        <f t="shared" si="15"/>
        <v>1867000</v>
      </c>
      <c r="U66" s="86">
        <f>SUM(U68:U69)</f>
        <v>9686400</v>
      </c>
      <c r="V66" s="86">
        <f>SUM(V68:V69)</f>
        <v>1909000</v>
      </c>
    </row>
    <row r="67" spans="1:22" s="246" customFormat="1" ht="48.75" customHeight="1">
      <c r="A67" s="69">
        <v>2010</v>
      </c>
      <c r="B67" s="105" t="s">
        <v>34</v>
      </c>
      <c r="C67" s="243">
        <v>5200000</v>
      </c>
      <c r="D67" s="68">
        <f>E67+F67+G67+M67+N67+R67+J67+O67+P67+Q67+I67+K67+L67</f>
        <v>3333000</v>
      </c>
      <c r="E67" s="33">
        <v>3333000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68">
        <f t="shared" si="13"/>
        <v>1867000</v>
      </c>
      <c r="U67" s="216"/>
      <c r="V67" s="216"/>
    </row>
    <row r="68" spans="1:22" s="185" customFormat="1" ht="47.25" customHeight="1">
      <c r="A68" s="177">
        <v>2010</v>
      </c>
      <c r="B68" s="165" t="s">
        <v>34</v>
      </c>
      <c r="C68" s="150">
        <v>9686400</v>
      </c>
      <c r="D68" s="129">
        <f>E68+F68+G68+M68+N68+R68+J68+P68+Q68+O68</f>
        <v>9686400</v>
      </c>
      <c r="E68" s="172"/>
      <c r="F68" s="129"/>
      <c r="G68" s="129"/>
      <c r="H68" s="172">
        <f>SUM(I68:J68)</f>
        <v>0</v>
      </c>
      <c r="I68" s="172"/>
      <c r="J68" s="129"/>
      <c r="K68" s="129"/>
      <c r="L68" s="129"/>
      <c r="M68" s="171"/>
      <c r="N68" s="129"/>
      <c r="O68" s="129"/>
      <c r="P68" s="129">
        <v>9686400</v>
      </c>
      <c r="Q68" s="129"/>
      <c r="R68" s="129"/>
      <c r="S68" s="154"/>
      <c r="T68" s="172">
        <f t="shared" si="13"/>
        <v>0</v>
      </c>
      <c r="U68" s="173">
        <v>9686400</v>
      </c>
      <c r="V68" s="173">
        <v>1909000</v>
      </c>
    </row>
    <row r="69" spans="1:22" s="186" customFormat="1" ht="31.5" customHeight="1">
      <c r="A69" s="175">
        <v>2010</v>
      </c>
      <c r="B69" s="165" t="s">
        <v>35</v>
      </c>
      <c r="C69" s="150">
        <v>1909000</v>
      </c>
      <c r="D69" s="129">
        <f>E69+F69+G69+M69+N69+R69+J69+P69+Q69+O69</f>
        <v>1909000</v>
      </c>
      <c r="E69" s="129"/>
      <c r="F69" s="129"/>
      <c r="G69" s="129"/>
      <c r="H69" s="129"/>
      <c r="I69" s="129"/>
      <c r="J69" s="129"/>
      <c r="K69" s="129"/>
      <c r="L69" s="129"/>
      <c r="M69" s="171"/>
      <c r="N69" s="170"/>
      <c r="O69" s="170"/>
      <c r="P69" s="170"/>
      <c r="Q69" s="170">
        <v>1909000</v>
      </c>
      <c r="R69" s="129"/>
      <c r="S69" s="154"/>
      <c r="T69" s="172">
        <f t="shared" si="13"/>
        <v>0</v>
      </c>
      <c r="U69" s="154"/>
      <c r="V69" s="154"/>
    </row>
    <row r="70" spans="1:22" s="229" customFormat="1" ht="31.5" customHeight="1">
      <c r="A70" s="101">
        <v>2010</v>
      </c>
      <c r="B70" s="105" t="s">
        <v>215</v>
      </c>
      <c r="C70" s="81">
        <v>22000</v>
      </c>
      <c r="D70" s="68">
        <f>E70+F70+G70+M70+N70+R70+J70+P70+Q70+O70</f>
        <v>22000</v>
      </c>
      <c r="E70" s="68">
        <v>22000</v>
      </c>
      <c r="F70" s="68"/>
      <c r="G70" s="68"/>
      <c r="H70" s="68"/>
      <c r="I70" s="68"/>
      <c r="J70" s="68"/>
      <c r="K70" s="68"/>
      <c r="L70" s="68"/>
      <c r="M70" s="99"/>
      <c r="N70" s="100"/>
      <c r="O70" s="100"/>
      <c r="P70" s="100"/>
      <c r="Q70" s="100"/>
      <c r="R70" s="68"/>
      <c r="S70" s="104"/>
      <c r="T70" s="87">
        <f t="shared" si="13"/>
        <v>0</v>
      </c>
      <c r="U70" s="104"/>
      <c r="V70" s="104"/>
    </row>
    <row r="71" spans="1:22" s="229" customFormat="1" ht="73.5" customHeight="1">
      <c r="A71" s="101">
        <v>2010</v>
      </c>
      <c r="B71" s="105" t="s">
        <v>162</v>
      </c>
      <c r="C71" s="81">
        <v>20000</v>
      </c>
      <c r="D71" s="68">
        <f>E71+F71+G71+M71+N71+R71+J71+P71+Q71+O71</f>
        <v>20000</v>
      </c>
      <c r="E71" s="68">
        <v>20000</v>
      </c>
      <c r="F71" s="68"/>
      <c r="G71" s="68"/>
      <c r="H71" s="68"/>
      <c r="I71" s="68"/>
      <c r="J71" s="68"/>
      <c r="K71" s="68"/>
      <c r="L71" s="68"/>
      <c r="M71" s="99"/>
      <c r="N71" s="100"/>
      <c r="O71" s="100"/>
      <c r="P71" s="100"/>
      <c r="Q71" s="100"/>
      <c r="R71" s="68"/>
      <c r="S71" s="104"/>
      <c r="T71" s="87">
        <f t="shared" si="13"/>
        <v>0</v>
      </c>
      <c r="U71" s="104"/>
      <c r="V71" s="104"/>
    </row>
    <row r="72" spans="1:22" s="46" customFormat="1" ht="19.5" customHeight="1">
      <c r="A72" s="24">
        <v>2111</v>
      </c>
      <c r="B72" s="5" t="s">
        <v>10</v>
      </c>
      <c r="C72" s="34">
        <f aca="true" t="shared" si="16" ref="C72:S72">SUM(C73:C95)</f>
        <v>969492</v>
      </c>
      <c r="D72" s="34">
        <f t="shared" si="16"/>
        <v>850347</v>
      </c>
      <c r="E72" s="34">
        <f t="shared" si="16"/>
        <v>132000</v>
      </c>
      <c r="F72" s="34">
        <f t="shared" si="16"/>
        <v>0</v>
      </c>
      <c r="G72" s="34">
        <f t="shared" si="16"/>
        <v>0</v>
      </c>
      <c r="H72" s="34">
        <f t="shared" si="16"/>
        <v>0</v>
      </c>
      <c r="I72" s="34">
        <f t="shared" si="16"/>
        <v>0</v>
      </c>
      <c r="J72" s="88">
        <f t="shared" si="16"/>
        <v>0</v>
      </c>
      <c r="K72" s="88">
        <f t="shared" si="16"/>
        <v>0</v>
      </c>
      <c r="L72" s="88">
        <f t="shared" si="16"/>
        <v>0</v>
      </c>
      <c r="M72" s="84">
        <f t="shared" si="16"/>
        <v>524447</v>
      </c>
      <c r="N72" s="34">
        <f t="shared" si="16"/>
        <v>181900</v>
      </c>
      <c r="O72" s="34">
        <f t="shared" si="16"/>
        <v>12000</v>
      </c>
      <c r="P72" s="34">
        <f t="shared" si="16"/>
        <v>0</v>
      </c>
      <c r="Q72" s="34">
        <f t="shared" si="16"/>
        <v>0</v>
      </c>
      <c r="R72" s="34">
        <f t="shared" si="16"/>
        <v>0</v>
      </c>
      <c r="S72" s="95">
        <f t="shared" si="16"/>
        <v>526047</v>
      </c>
      <c r="T72" s="49">
        <f aca="true" t="shared" si="17" ref="T72:T82">C72-D72</f>
        <v>119145</v>
      </c>
      <c r="U72" s="88">
        <f>SUM(U73:U95)</f>
        <v>0</v>
      </c>
      <c r="V72" s="88">
        <f>SUM(V73:V95)</f>
        <v>0</v>
      </c>
    </row>
    <row r="73" spans="1:22" s="7" customFormat="1" ht="72.75" customHeight="1">
      <c r="A73" s="4">
        <v>2111</v>
      </c>
      <c r="B73" s="105" t="s">
        <v>163</v>
      </c>
      <c r="C73" s="81">
        <v>251145</v>
      </c>
      <c r="D73" s="68">
        <f>E73+F73+G73+M73+N73+R73+J73+H73</f>
        <v>132000</v>
      </c>
      <c r="E73" s="106">
        <v>132000</v>
      </c>
      <c r="F73" s="81"/>
      <c r="G73" s="81"/>
      <c r="H73" s="68">
        <f>SUM(I73:J73)</f>
        <v>0</v>
      </c>
      <c r="I73" s="81"/>
      <c r="J73" s="81"/>
      <c r="K73" s="81"/>
      <c r="L73" s="81"/>
      <c r="M73" s="107"/>
      <c r="N73" s="81"/>
      <c r="O73" s="81"/>
      <c r="P73" s="81"/>
      <c r="Q73" s="81"/>
      <c r="R73" s="108"/>
      <c r="S73" s="104"/>
      <c r="T73" s="68">
        <f t="shared" si="17"/>
        <v>119145</v>
      </c>
      <c r="U73" s="116"/>
      <c r="V73" s="116"/>
    </row>
    <row r="74" spans="1:22" s="134" customFormat="1" ht="75.75" customHeight="1">
      <c r="A74" s="148">
        <v>2111</v>
      </c>
      <c r="B74" s="167" t="s">
        <v>50</v>
      </c>
      <c r="C74" s="150">
        <v>20000</v>
      </c>
      <c r="D74" s="129">
        <f>E74+F74+G74+M74+N74+R74+J74</f>
        <v>20000</v>
      </c>
      <c r="E74" s="151"/>
      <c r="F74" s="150"/>
      <c r="G74" s="150"/>
      <c r="H74" s="129"/>
      <c r="I74" s="150"/>
      <c r="J74" s="150"/>
      <c r="K74" s="150"/>
      <c r="L74" s="150"/>
      <c r="M74" s="152">
        <v>20000</v>
      </c>
      <c r="N74" s="150"/>
      <c r="O74" s="150"/>
      <c r="P74" s="150"/>
      <c r="Q74" s="150"/>
      <c r="R74" s="153"/>
      <c r="S74" s="166">
        <f>M74</f>
        <v>20000</v>
      </c>
      <c r="T74" s="129">
        <f t="shared" si="17"/>
        <v>0</v>
      </c>
      <c r="U74" s="133"/>
      <c r="V74" s="133"/>
    </row>
    <row r="75" spans="1:22" s="134" customFormat="1" ht="149.25" customHeight="1">
      <c r="A75" s="148">
        <v>2111</v>
      </c>
      <c r="B75" s="165" t="s">
        <v>46</v>
      </c>
      <c r="C75" s="150">
        <f>40000+9000+10000+18617+300+600+30000+28500</f>
        <v>137017</v>
      </c>
      <c r="D75" s="129">
        <f>E75+F75+G75+M75+N75+R75+J75</f>
        <v>137017</v>
      </c>
      <c r="E75" s="151"/>
      <c r="F75" s="150"/>
      <c r="G75" s="150"/>
      <c r="H75" s="129"/>
      <c r="I75" s="150"/>
      <c r="J75" s="150"/>
      <c r="K75" s="150"/>
      <c r="L75" s="150"/>
      <c r="M75" s="152">
        <f>C75</f>
        <v>137017</v>
      </c>
      <c r="N75" s="150"/>
      <c r="O75" s="150"/>
      <c r="P75" s="150"/>
      <c r="Q75" s="150"/>
      <c r="R75" s="153"/>
      <c r="S75" s="166">
        <f>M75</f>
        <v>137017</v>
      </c>
      <c r="T75" s="129">
        <f t="shared" si="17"/>
        <v>0</v>
      </c>
      <c r="U75" s="133"/>
      <c r="V75" s="133"/>
    </row>
    <row r="76" spans="1:22" s="134" customFormat="1" ht="63.75" customHeight="1">
      <c r="A76" s="148">
        <v>2111</v>
      </c>
      <c r="B76" s="165" t="s">
        <v>77</v>
      </c>
      <c r="C76" s="150">
        <v>2000</v>
      </c>
      <c r="D76" s="129">
        <f>E76+F76+G76+M76+N76+R76+J76+H76+O76</f>
        <v>2000</v>
      </c>
      <c r="E76" s="151"/>
      <c r="F76" s="150"/>
      <c r="G76" s="150"/>
      <c r="H76" s="129"/>
      <c r="I76" s="150"/>
      <c r="J76" s="150"/>
      <c r="K76" s="150"/>
      <c r="L76" s="150"/>
      <c r="M76" s="152"/>
      <c r="N76" s="150"/>
      <c r="O76" s="150">
        <v>2000</v>
      </c>
      <c r="P76" s="150"/>
      <c r="Q76" s="150"/>
      <c r="R76" s="153"/>
      <c r="S76" s="166">
        <f>O76</f>
        <v>2000</v>
      </c>
      <c r="T76" s="129">
        <f t="shared" si="17"/>
        <v>0</v>
      </c>
      <c r="U76" s="133"/>
      <c r="V76" s="133"/>
    </row>
    <row r="77" spans="1:22" s="134" customFormat="1" ht="51.75" customHeight="1">
      <c r="A77" s="148">
        <v>2111</v>
      </c>
      <c r="B77" s="165" t="s">
        <v>76</v>
      </c>
      <c r="C77" s="150">
        <v>10000</v>
      </c>
      <c r="D77" s="129">
        <f>E77+F77+G77+M77+N77+R77+J77+H77+O77</f>
        <v>10000</v>
      </c>
      <c r="E77" s="151"/>
      <c r="F77" s="150"/>
      <c r="G77" s="150"/>
      <c r="H77" s="129">
        <f>SUM(I77:J77)</f>
        <v>0</v>
      </c>
      <c r="I77" s="150"/>
      <c r="J77" s="150"/>
      <c r="K77" s="150"/>
      <c r="L77" s="150"/>
      <c r="M77" s="152"/>
      <c r="N77" s="150"/>
      <c r="O77" s="150">
        <v>10000</v>
      </c>
      <c r="P77" s="150"/>
      <c r="Q77" s="150"/>
      <c r="R77" s="153"/>
      <c r="S77" s="166">
        <f>O77</f>
        <v>10000</v>
      </c>
      <c r="T77" s="129">
        <f t="shared" si="17"/>
        <v>0</v>
      </c>
      <c r="U77" s="133"/>
      <c r="V77" s="133"/>
    </row>
    <row r="78" spans="1:22" s="134" customFormat="1" ht="158.25" customHeight="1">
      <c r="A78" s="148">
        <v>2111</v>
      </c>
      <c r="B78" s="165" t="s">
        <v>47</v>
      </c>
      <c r="C78" s="150">
        <f>50000+10000+10000+1000+2000+3000+5000</f>
        <v>81000</v>
      </c>
      <c r="D78" s="129">
        <f>E78+F78+G78+M78+N78+R78+J78+H78</f>
        <v>81000</v>
      </c>
      <c r="E78" s="151"/>
      <c r="F78" s="150"/>
      <c r="G78" s="150"/>
      <c r="H78" s="129"/>
      <c r="I78" s="150"/>
      <c r="J78" s="150"/>
      <c r="K78" s="150"/>
      <c r="L78" s="150"/>
      <c r="M78" s="152">
        <f>1000+2000+3000+5000</f>
        <v>11000</v>
      </c>
      <c r="N78" s="150">
        <f>50000+10000+10000</f>
        <v>70000</v>
      </c>
      <c r="O78" s="150"/>
      <c r="P78" s="150"/>
      <c r="Q78" s="150"/>
      <c r="R78" s="153"/>
      <c r="S78" s="166">
        <f>M78+N78</f>
        <v>81000</v>
      </c>
      <c r="T78" s="129">
        <f t="shared" si="17"/>
        <v>0</v>
      </c>
      <c r="U78" s="133"/>
      <c r="V78" s="133"/>
    </row>
    <row r="79" spans="1:22" s="134" customFormat="1" ht="194.25" customHeight="1">
      <c r="A79" s="148">
        <v>2111</v>
      </c>
      <c r="B79" s="149" t="s">
        <v>43</v>
      </c>
      <c r="C79" s="150">
        <v>58300</v>
      </c>
      <c r="D79" s="129">
        <f aca="true" t="shared" si="18" ref="D79:D95">E79+F79+G79+M79+N79+R79+J79</f>
        <v>58300</v>
      </c>
      <c r="E79" s="151"/>
      <c r="F79" s="150"/>
      <c r="G79" s="150"/>
      <c r="H79" s="129"/>
      <c r="I79" s="150"/>
      <c r="J79" s="150"/>
      <c r="K79" s="150"/>
      <c r="L79" s="150"/>
      <c r="M79" s="152">
        <f>C79</f>
        <v>58300</v>
      </c>
      <c r="N79" s="150"/>
      <c r="O79" s="150"/>
      <c r="P79" s="150"/>
      <c r="Q79" s="150"/>
      <c r="R79" s="153"/>
      <c r="S79" s="154">
        <v>58300</v>
      </c>
      <c r="T79" s="129">
        <f t="shared" si="17"/>
        <v>0</v>
      </c>
      <c r="U79" s="133"/>
      <c r="V79" s="133"/>
    </row>
    <row r="80" spans="1:22" s="134" customFormat="1" ht="87.75" customHeight="1">
      <c r="A80" s="148">
        <v>2111</v>
      </c>
      <c r="B80" s="155" t="s">
        <v>48</v>
      </c>
      <c r="C80" s="150">
        <v>3600</v>
      </c>
      <c r="D80" s="129">
        <f t="shared" si="18"/>
        <v>3600</v>
      </c>
      <c r="E80" s="151"/>
      <c r="F80" s="150"/>
      <c r="G80" s="150"/>
      <c r="H80" s="129"/>
      <c r="I80" s="150"/>
      <c r="J80" s="150"/>
      <c r="K80" s="150"/>
      <c r="L80" s="150"/>
      <c r="M80" s="152"/>
      <c r="N80" s="150">
        <v>3600</v>
      </c>
      <c r="O80" s="150"/>
      <c r="P80" s="150"/>
      <c r="Q80" s="150"/>
      <c r="R80" s="153"/>
      <c r="S80" s="166">
        <f>N80</f>
        <v>3600</v>
      </c>
      <c r="T80" s="129">
        <f t="shared" si="17"/>
        <v>0</v>
      </c>
      <c r="U80" s="133"/>
      <c r="V80" s="133"/>
    </row>
    <row r="81" spans="1:22" s="134" customFormat="1" ht="93.75" customHeight="1">
      <c r="A81" s="148">
        <v>2111</v>
      </c>
      <c r="B81" s="155" t="s">
        <v>44</v>
      </c>
      <c r="C81" s="150">
        <v>2800</v>
      </c>
      <c r="D81" s="129">
        <f t="shared" si="18"/>
        <v>2800</v>
      </c>
      <c r="E81" s="151"/>
      <c r="F81" s="150"/>
      <c r="G81" s="150"/>
      <c r="H81" s="129"/>
      <c r="I81" s="150"/>
      <c r="J81" s="150"/>
      <c r="K81" s="150"/>
      <c r="L81" s="150"/>
      <c r="M81" s="152"/>
      <c r="N81" s="150">
        <v>2800</v>
      </c>
      <c r="O81" s="150"/>
      <c r="P81" s="150"/>
      <c r="Q81" s="150"/>
      <c r="R81" s="153"/>
      <c r="S81" s="154">
        <v>9000</v>
      </c>
      <c r="T81" s="129">
        <f t="shared" si="17"/>
        <v>0</v>
      </c>
      <c r="U81" s="133"/>
      <c r="V81" s="133"/>
    </row>
    <row r="82" spans="1:22" s="134" customFormat="1" ht="77.25" customHeight="1">
      <c r="A82" s="148">
        <v>2111</v>
      </c>
      <c r="B82" s="155" t="s">
        <v>49</v>
      </c>
      <c r="C82" s="150">
        <v>7680</v>
      </c>
      <c r="D82" s="129">
        <f t="shared" si="18"/>
        <v>7680</v>
      </c>
      <c r="E82" s="151"/>
      <c r="F82" s="150"/>
      <c r="G82" s="150"/>
      <c r="H82" s="129"/>
      <c r="I82" s="150"/>
      <c r="J82" s="150"/>
      <c r="K82" s="150"/>
      <c r="L82" s="150"/>
      <c r="M82" s="152">
        <v>7680</v>
      </c>
      <c r="N82" s="150"/>
      <c r="O82" s="150"/>
      <c r="P82" s="150"/>
      <c r="Q82" s="150"/>
      <c r="R82" s="153"/>
      <c r="S82" s="166">
        <f>M82</f>
        <v>7680</v>
      </c>
      <c r="T82" s="129">
        <f t="shared" si="17"/>
        <v>0</v>
      </c>
      <c r="U82" s="133"/>
      <c r="V82" s="133"/>
    </row>
    <row r="83" spans="1:22" s="134" customFormat="1" ht="77.25" customHeight="1">
      <c r="A83" s="148">
        <v>2111</v>
      </c>
      <c r="B83" s="155" t="s">
        <v>51</v>
      </c>
      <c r="C83" s="150">
        <f>400+250</f>
        <v>650</v>
      </c>
      <c r="D83" s="129">
        <f t="shared" si="18"/>
        <v>650</v>
      </c>
      <c r="E83" s="151"/>
      <c r="F83" s="150"/>
      <c r="G83" s="150"/>
      <c r="H83" s="129"/>
      <c r="I83" s="150"/>
      <c r="J83" s="150"/>
      <c r="K83" s="150"/>
      <c r="L83" s="150"/>
      <c r="M83" s="152">
        <f>400+250</f>
        <v>650</v>
      </c>
      <c r="N83" s="150"/>
      <c r="O83" s="150"/>
      <c r="P83" s="150"/>
      <c r="Q83" s="150"/>
      <c r="R83" s="153"/>
      <c r="S83" s="166">
        <f>M83</f>
        <v>650</v>
      </c>
      <c r="T83" s="129">
        <f aca="true" t="shared" si="19" ref="T83:T95">C83-D83</f>
        <v>0</v>
      </c>
      <c r="U83" s="133"/>
      <c r="V83" s="133"/>
    </row>
    <row r="84" spans="1:22" s="134" customFormat="1" ht="77.25" customHeight="1">
      <c r="A84" s="148">
        <v>2111</v>
      </c>
      <c r="B84" s="155" t="s">
        <v>52</v>
      </c>
      <c r="C84" s="150">
        <f>500+500</f>
        <v>1000</v>
      </c>
      <c r="D84" s="129">
        <f t="shared" si="18"/>
        <v>1000</v>
      </c>
      <c r="E84" s="151"/>
      <c r="F84" s="150"/>
      <c r="G84" s="150"/>
      <c r="H84" s="129"/>
      <c r="I84" s="150"/>
      <c r="J84" s="150"/>
      <c r="K84" s="150"/>
      <c r="L84" s="150"/>
      <c r="M84" s="152">
        <f>C84</f>
        <v>1000</v>
      </c>
      <c r="N84" s="150"/>
      <c r="O84" s="150"/>
      <c r="P84" s="150"/>
      <c r="Q84" s="150"/>
      <c r="R84" s="153"/>
      <c r="S84" s="166">
        <f>M84</f>
        <v>1000</v>
      </c>
      <c r="T84" s="129">
        <f t="shared" si="19"/>
        <v>0</v>
      </c>
      <c r="U84" s="133"/>
      <c r="V84" s="133"/>
    </row>
    <row r="85" spans="1:22" s="134" customFormat="1" ht="69.75" customHeight="1">
      <c r="A85" s="148">
        <v>2111</v>
      </c>
      <c r="B85" s="155" t="s">
        <v>96</v>
      </c>
      <c r="C85" s="150">
        <v>600</v>
      </c>
      <c r="D85" s="129">
        <f t="shared" si="18"/>
        <v>600</v>
      </c>
      <c r="E85" s="151"/>
      <c r="F85" s="150"/>
      <c r="G85" s="150"/>
      <c r="H85" s="129"/>
      <c r="I85" s="150"/>
      <c r="J85" s="150"/>
      <c r="K85" s="150"/>
      <c r="L85" s="150"/>
      <c r="M85" s="152">
        <v>600</v>
      </c>
      <c r="N85" s="150"/>
      <c r="O85" s="150"/>
      <c r="P85" s="150"/>
      <c r="Q85" s="150"/>
      <c r="R85" s="153"/>
      <c r="S85" s="154">
        <v>600</v>
      </c>
      <c r="T85" s="129">
        <f t="shared" si="19"/>
        <v>0</v>
      </c>
      <c r="U85" s="133"/>
      <c r="V85" s="133"/>
    </row>
    <row r="86" spans="1:22" s="134" customFormat="1" ht="205.5" customHeight="1">
      <c r="A86" s="148">
        <v>2111</v>
      </c>
      <c r="B86" s="155" t="s">
        <v>116</v>
      </c>
      <c r="C86" s="150">
        <v>17700</v>
      </c>
      <c r="D86" s="129">
        <f t="shared" si="18"/>
        <v>17700</v>
      </c>
      <c r="E86" s="151"/>
      <c r="F86" s="150"/>
      <c r="G86" s="150"/>
      <c r="H86" s="129"/>
      <c r="I86" s="150"/>
      <c r="J86" s="150"/>
      <c r="K86" s="150"/>
      <c r="L86" s="150"/>
      <c r="M86" s="152">
        <v>17700</v>
      </c>
      <c r="N86" s="150"/>
      <c r="O86" s="150"/>
      <c r="P86" s="150"/>
      <c r="Q86" s="150"/>
      <c r="R86" s="153"/>
      <c r="S86" s="154">
        <v>17700</v>
      </c>
      <c r="T86" s="129">
        <f t="shared" si="19"/>
        <v>0</v>
      </c>
      <c r="U86" s="133"/>
      <c r="V86" s="133"/>
    </row>
    <row r="87" spans="1:22" s="134" customFormat="1" ht="219.75" customHeight="1">
      <c r="A87" s="148">
        <v>2111</v>
      </c>
      <c r="B87" s="155" t="s">
        <v>129</v>
      </c>
      <c r="C87" s="150">
        <v>67000</v>
      </c>
      <c r="D87" s="129">
        <f t="shared" si="18"/>
        <v>67000</v>
      </c>
      <c r="E87" s="151"/>
      <c r="F87" s="150"/>
      <c r="G87" s="150"/>
      <c r="H87" s="129"/>
      <c r="I87" s="150"/>
      <c r="J87" s="150"/>
      <c r="K87" s="150"/>
      <c r="L87" s="150"/>
      <c r="M87" s="152">
        <v>67000</v>
      </c>
      <c r="N87" s="150"/>
      <c r="O87" s="150"/>
      <c r="P87" s="150"/>
      <c r="Q87" s="150"/>
      <c r="R87" s="153"/>
      <c r="S87" s="166">
        <f>M87</f>
        <v>67000</v>
      </c>
      <c r="T87" s="129">
        <f t="shared" si="19"/>
        <v>0</v>
      </c>
      <c r="U87" s="133"/>
      <c r="V87" s="133"/>
    </row>
    <row r="88" spans="1:22" s="134" customFormat="1" ht="84.75" customHeight="1">
      <c r="A88" s="148">
        <v>2111</v>
      </c>
      <c r="B88" s="155" t="s">
        <v>130</v>
      </c>
      <c r="C88" s="150">
        <v>5000</v>
      </c>
      <c r="D88" s="129">
        <f t="shared" si="18"/>
        <v>5000</v>
      </c>
      <c r="E88" s="151"/>
      <c r="F88" s="150"/>
      <c r="G88" s="150"/>
      <c r="H88" s="129"/>
      <c r="I88" s="150"/>
      <c r="J88" s="150"/>
      <c r="K88" s="150"/>
      <c r="L88" s="150"/>
      <c r="M88" s="152">
        <v>5000</v>
      </c>
      <c r="N88" s="150"/>
      <c r="O88" s="150"/>
      <c r="P88" s="150"/>
      <c r="Q88" s="150"/>
      <c r="R88" s="153"/>
      <c r="S88" s="154">
        <v>5000</v>
      </c>
      <c r="T88" s="129">
        <f t="shared" si="19"/>
        <v>0</v>
      </c>
      <c r="U88" s="133"/>
      <c r="V88" s="133"/>
    </row>
    <row r="89" spans="1:22" s="134" customFormat="1" ht="187.5" customHeight="1">
      <c r="A89" s="148">
        <v>2111</v>
      </c>
      <c r="B89" s="155" t="s">
        <v>131</v>
      </c>
      <c r="C89" s="150">
        <v>43150</v>
      </c>
      <c r="D89" s="129">
        <f t="shared" si="18"/>
        <v>43150</v>
      </c>
      <c r="E89" s="151"/>
      <c r="F89" s="150"/>
      <c r="G89" s="150"/>
      <c r="H89" s="129"/>
      <c r="I89" s="150"/>
      <c r="J89" s="150"/>
      <c r="K89" s="150"/>
      <c r="L89" s="150"/>
      <c r="M89" s="152"/>
      <c r="N89" s="150">
        <v>43150</v>
      </c>
      <c r="O89" s="150"/>
      <c r="P89" s="150"/>
      <c r="Q89" s="150"/>
      <c r="R89" s="153"/>
      <c r="S89" s="166">
        <f>N89</f>
        <v>43150</v>
      </c>
      <c r="T89" s="129">
        <f t="shared" si="19"/>
        <v>0</v>
      </c>
      <c r="U89" s="133"/>
      <c r="V89" s="133"/>
    </row>
    <row r="90" spans="1:22" s="134" customFormat="1" ht="59.25" customHeight="1">
      <c r="A90" s="148">
        <v>2111</v>
      </c>
      <c r="B90" s="155" t="s">
        <v>132</v>
      </c>
      <c r="C90" s="150">
        <v>2000</v>
      </c>
      <c r="D90" s="129">
        <f t="shared" si="18"/>
        <v>2000</v>
      </c>
      <c r="E90" s="151"/>
      <c r="F90" s="150"/>
      <c r="G90" s="150"/>
      <c r="H90" s="129"/>
      <c r="I90" s="150"/>
      <c r="J90" s="150"/>
      <c r="K90" s="150"/>
      <c r="L90" s="150"/>
      <c r="M90" s="152"/>
      <c r="N90" s="150">
        <v>2000</v>
      </c>
      <c r="O90" s="150"/>
      <c r="P90" s="150"/>
      <c r="Q90" s="150"/>
      <c r="R90" s="153"/>
      <c r="S90" s="154">
        <v>2000</v>
      </c>
      <c r="T90" s="129">
        <f t="shared" si="19"/>
        <v>0</v>
      </c>
      <c r="U90" s="133"/>
      <c r="V90" s="133"/>
    </row>
    <row r="91" spans="1:22" s="7" customFormat="1" ht="59.25" customHeight="1">
      <c r="A91" s="4">
        <v>2111</v>
      </c>
      <c r="B91" s="236" t="s">
        <v>156</v>
      </c>
      <c r="C91" s="81">
        <v>30000</v>
      </c>
      <c r="D91" s="68">
        <f t="shared" si="18"/>
        <v>30000</v>
      </c>
      <c r="E91" s="106"/>
      <c r="F91" s="81"/>
      <c r="G91" s="81"/>
      <c r="H91" s="68"/>
      <c r="I91" s="81"/>
      <c r="J91" s="81"/>
      <c r="K91" s="81"/>
      <c r="L91" s="81"/>
      <c r="M91" s="107">
        <v>30000</v>
      </c>
      <c r="N91" s="81"/>
      <c r="O91" s="81"/>
      <c r="P91" s="81"/>
      <c r="Q91" s="81"/>
      <c r="R91" s="108"/>
      <c r="S91" s="104"/>
      <c r="T91" s="68">
        <f t="shared" si="19"/>
        <v>0</v>
      </c>
      <c r="U91" s="116"/>
      <c r="V91" s="116"/>
    </row>
    <row r="92" spans="1:22" s="7" customFormat="1" ht="59.25" customHeight="1">
      <c r="A92" s="4">
        <v>2111</v>
      </c>
      <c r="B92" s="215" t="s">
        <v>158</v>
      </c>
      <c r="C92" s="81">
        <v>130000</v>
      </c>
      <c r="D92" s="68">
        <f t="shared" si="18"/>
        <v>130000</v>
      </c>
      <c r="E92" s="106"/>
      <c r="F92" s="81"/>
      <c r="G92" s="81"/>
      <c r="H92" s="68"/>
      <c r="I92" s="81"/>
      <c r="J92" s="81"/>
      <c r="K92" s="81"/>
      <c r="L92" s="81"/>
      <c r="M92" s="107">
        <v>130000</v>
      </c>
      <c r="N92" s="81"/>
      <c r="O92" s="81"/>
      <c r="P92" s="81"/>
      <c r="Q92" s="81"/>
      <c r="R92" s="108"/>
      <c r="S92" s="104"/>
      <c r="T92" s="68">
        <f t="shared" si="19"/>
        <v>0</v>
      </c>
      <c r="U92" s="116"/>
      <c r="V92" s="116"/>
    </row>
    <row r="93" spans="1:22" s="7" customFormat="1" ht="59.25" customHeight="1">
      <c r="A93" s="4">
        <v>2111</v>
      </c>
      <c r="B93" s="215" t="s">
        <v>216</v>
      </c>
      <c r="C93" s="81">
        <v>15500</v>
      </c>
      <c r="D93" s="68">
        <f t="shared" si="18"/>
        <v>15500</v>
      </c>
      <c r="E93" s="106"/>
      <c r="F93" s="81"/>
      <c r="G93" s="81"/>
      <c r="H93" s="68"/>
      <c r="I93" s="81"/>
      <c r="J93" s="81"/>
      <c r="K93" s="81"/>
      <c r="L93" s="81"/>
      <c r="M93" s="107">
        <v>15500</v>
      </c>
      <c r="N93" s="81"/>
      <c r="O93" s="81"/>
      <c r="P93" s="81"/>
      <c r="Q93" s="81"/>
      <c r="R93" s="108"/>
      <c r="S93" s="104"/>
      <c r="T93" s="68">
        <f t="shared" si="19"/>
        <v>0</v>
      </c>
      <c r="U93" s="116"/>
      <c r="V93" s="116"/>
    </row>
    <row r="94" spans="1:22" s="7" customFormat="1" ht="80.25" customHeight="1">
      <c r="A94" s="4">
        <v>2111</v>
      </c>
      <c r="B94" s="215" t="s">
        <v>157</v>
      </c>
      <c r="C94" s="81">
        <v>23000</v>
      </c>
      <c r="D94" s="68">
        <f t="shared" si="18"/>
        <v>23000</v>
      </c>
      <c r="E94" s="106"/>
      <c r="F94" s="81"/>
      <c r="G94" s="81"/>
      <c r="H94" s="68"/>
      <c r="I94" s="81"/>
      <c r="J94" s="81"/>
      <c r="K94" s="81"/>
      <c r="L94" s="81"/>
      <c r="M94" s="107">
        <v>23000</v>
      </c>
      <c r="N94" s="81"/>
      <c r="O94" s="81"/>
      <c r="P94" s="81"/>
      <c r="Q94" s="81"/>
      <c r="R94" s="108"/>
      <c r="S94" s="104"/>
      <c r="T94" s="68">
        <f t="shared" si="19"/>
        <v>0</v>
      </c>
      <c r="U94" s="116"/>
      <c r="V94" s="116"/>
    </row>
    <row r="95" spans="1:22" s="134" customFormat="1" ht="105.75" customHeight="1">
      <c r="A95" s="148">
        <v>2111</v>
      </c>
      <c r="B95" s="155" t="s">
        <v>115</v>
      </c>
      <c r="C95" s="150">
        <v>60350</v>
      </c>
      <c r="D95" s="129">
        <f t="shared" si="18"/>
        <v>60350</v>
      </c>
      <c r="E95" s="151"/>
      <c r="F95" s="150"/>
      <c r="G95" s="150"/>
      <c r="H95" s="129"/>
      <c r="I95" s="150"/>
      <c r="J95" s="150"/>
      <c r="K95" s="150"/>
      <c r="L95" s="150"/>
      <c r="M95" s="152"/>
      <c r="N95" s="150">
        <v>60350</v>
      </c>
      <c r="O95" s="150"/>
      <c r="P95" s="150"/>
      <c r="Q95" s="150"/>
      <c r="R95" s="153"/>
      <c r="S95" s="154">
        <v>60350</v>
      </c>
      <c r="T95" s="129">
        <f t="shared" si="19"/>
        <v>0</v>
      </c>
      <c r="U95" s="133"/>
      <c r="V95" s="133"/>
    </row>
    <row r="96" spans="1:22" s="72" customFormat="1" ht="48" customHeight="1">
      <c r="A96" s="109">
        <v>30000</v>
      </c>
      <c r="B96" s="110" t="s">
        <v>13</v>
      </c>
      <c r="C96" s="111">
        <f>SUM(C97:C107)</f>
        <v>-26757873.46</v>
      </c>
      <c r="D96" s="228">
        <f>SUM(D97:D108)</f>
        <v>-27329667.22</v>
      </c>
      <c r="E96" s="111">
        <f>SUM(E97:E108)</f>
        <v>32170</v>
      </c>
      <c r="F96" s="111">
        <f aca="true" t="shared" si="20" ref="F96:T96">SUM(F97:F107)</f>
        <v>0</v>
      </c>
      <c r="G96" s="111">
        <f t="shared" si="20"/>
        <v>0</v>
      </c>
      <c r="H96" s="111">
        <f t="shared" si="20"/>
        <v>387300</v>
      </c>
      <c r="I96" s="111">
        <f t="shared" si="20"/>
        <v>387300</v>
      </c>
      <c r="J96" s="111">
        <f t="shared" si="20"/>
        <v>0</v>
      </c>
      <c r="K96" s="111">
        <f t="shared" si="20"/>
        <v>0</v>
      </c>
      <c r="L96" s="111">
        <f t="shared" si="20"/>
        <v>0</v>
      </c>
      <c r="M96" s="111">
        <f>SUM(M97:M108)</f>
        <v>317779.87</v>
      </c>
      <c r="N96" s="111">
        <f>SUM(N97:N108)</f>
        <v>52557.91</v>
      </c>
      <c r="O96" s="111">
        <f t="shared" si="20"/>
        <v>31880</v>
      </c>
      <c r="P96" s="111">
        <f t="shared" si="20"/>
        <v>0</v>
      </c>
      <c r="Q96" s="111">
        <f t="shared" si="20"/>
        <v>0</v>
      </c>
      <c r="R96" s="228">
        <f t="shared" si="20"/>
        <v>-28151355</v>
      </c>
      <c r="S96" s="228">
        <f t="shared" si="20"/>
        <v>-27816764.25</v>
      </c>
      <c r="T96" s="111">
        <f t="shared" si="20"/>
        <v>671590.79</v>
      </c>
      <c r="U96" s="111">
        <f>SUM(U97:U104)</f>
        <v>0</v>
      </c>
      <c r="V96" s="111">
        <f>SUM(V97:V104)</f>
        <v>0</v>
      </c>
    </row>
    <row r="97" spans="1:22" s="125" customFormat="1" ht="45" customHeight="1">
      <c r="A97" s="121">
        <v>3104</v>
      </c>
      <c r="B97" s="122" t="s">
        <v>36</v>
      </c>
      <c r="C97" s="123">
        <v>926600</v>
      </c>
      <c r="D97" s="68">
        <f>E97+F97+G97+M97+N97+R97+J97+H97</f>
        <v>387300</v>
      </c>
      <c r="E97" s="123"/>
      <c r="F97" s="123"/>
      <c r="G97" s="123"/>
      <c r="H97" s="123">
        <f>SUM(I97:J97)</f>
        <v>387300</v>
      </c>
      <c r="I97" s="123">
        <v>387300</v>
      </c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68">
        <f aca="true" t="shared" si="21" ref="T97:T107">C97-D97</f>
        <v>539300</v>
      </c>
      <c r="U97" s="124"/>
      <c r="V97" s="124"/>
    </row>
    <row r="98" spans="1:22" s="192" customFormat="1" ht="105" customHeight="1">
      <c r="A98" s="188">
        <v>3242</v>
      </c>
      <c r="B98" s="189" t="s">
        <v>66</v>
      </c>
      <c r="C98" s="190">
        <v>25000</v>
      </c>
      <c r="D98" s="129">
        <f>E98+F98+G98+M98+N98+R98+J98+O98</f>
        <v>25000</v>
      </c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>
        <v>25000</v>
      </c>
      <c r="P98" s="190"/>
      <c r="Q98" s="190"/>
      <c r="R98" s="190"/>
      <c r="S98" s="190">
        <f>O98</f>
        <v>25000</v>
      </c>
      <c r="T98" s="129">
        <f t="shared" si="21"/>
        <v>0</v>
      </c>
      <c r="U98" s="191"/>
      <c r="V98" s="191"/>
    </row>
    <row r="99" spans="1:22" s="192" customFormat="1" ht="72" customHeight="1">
      <c r="A99" s="188">
        <v>3242</v>
      </c>
      <c r="B99" s="189" t="s">
        <v>81</v>
      </c>
      <c r="C99" s="190">
        <f>2690+2690</f>
        <v>5380</v>
      </c>
      <c r="D99" s="129">
        <f>E99+F99+G99+M99+N99+R99+J99+O99</f>
        <v>5380</v>
      </c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>
        <f>C99</f>
        <v>5380</v>
      </c>
      <c r="P99" s="190"/>
      <c r="Q99" s="190"/>
      <c r="R99" s="190"/>
      <c r="S99" s="190">
        <f>O99</f>
        <v>5380</v>
      </c>
      <c r="T99" s="129">
        <f t="shared" si="21"/>
        <v>0</v>
      </c>
      <c r="U99" s="191"/>
      <c r="V99" s="191"/>
    </row>
    <row r="100" spans="1:22" s="192" customFormat="1" ht="55.5" customHeight="1">
      <c r="A100" s="188">
        <v>3242</v>
      </c>
      <c r="B100" s="189" t="s">
        <v>86</v>
      </c>
      <c r="C100" s="190">
        <v>1500</v>
      </c>
      <c r="D100" s="129">
        <f>E100+F100+G100+M100+N100+R100+J100+O100</f>
        <v>1500</v>
      </c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>
        <v>1500</v>
      </c>
      <c r="P100" s="190"/>
      <c r="Q100" s="190"/>
      <c r="R100" s="190"/>
      <c r="S100" s="190">
        <v>1500</v>
      </c>
      <c r="T100" s="129">
        <f t="shared" si="21"/>
        <v>0</v>
      </c>
      <c r="U100" s="191"/>
      <c r="V100" s="191"/>
    </row>
    <row r="101" spans="1:22" s="192" customFormat="1" ht="135" customHeight="1">
      <c r="A101" s="127">
        <v>3160</v>
      </c>
      <c r="B101" s="143" t="s">
        <v>121</v>
      </c>
      <c r="C101" s="190">
        <f>M101</f>
        <v>66230</v>
      </c>
      <c r="D101" s="129">
        <f>E101+F101+G101+M101+N101+R101+J101+O101</f>
        <v>66230</v>
      </c>
      <c r="E101" s="190"/>
      <c r="F101" s="190"/>
      <c r="G101" s="190"/>
      <c r="H101" s="190"/>
      <c r="I101" s="190"/>
      <c r="J101" s="190"/>
      <c r="K101" s="190"/>
      <c r="L101" s="190"/>
      <c r="M101" s="190">
        <f>890+4846+11674+12102+16218+20500</f>
        <v>66230</v>
      </c>
      <c r="N101" s="190"/>
      <c r="O101" s="190"/>
      <c r="P101" s="190"/>
      <c r="Q101" s="190"/>
      <c r="R101" s="190"/>
      <c r="S101" s="190">
        <f>M101</f>
        <v>66230</v>
      </c>
      <c r="T101" s="129">
        <f t="shared" si="21"/>
        <v>0</v>
      </c>
      <c r="U101" s="191"/>
      <c r="V101" s="191"/>
    </row>
    <row r="102" spans="1:22" s="147" customFormat="1" ht="142.5" customHeight="1">
      <c r="A102" s="127">
        <v>3192</v>
      </c>
      <c r="B102" s="143" t="s">
        <v>122</v>
      </c>
      <c r="C102" s="144">
        <f>M102</f>
        <v>9613</v>
      </c>
      <c r="D102" s="129">
        <f aca="true" t="shared" si="22" ref="D102:D108">E102+F102+G102+M102+N102+R102+J102</f>
        <v>9613</v>
      </c>
      <c r="E102" s="144"/>
      <c r="F102" s="144"/>
      <c r="G102" s="144"/>
      <c r="H102" s="130"/>
      <c r="I102" s="144"/>
      <c r="J102" s="144"/>
      <c r="K102" s="144"/>
      <c r="L102" s="144"/>
      <c r="M102" s="145">
        <f>862+1191+2876+1068+2342+1274</f>
        <v>9613</v>
      </c>
      <c r="N102" s="144"/>
      <c r="O102" s="144"/>
      <c r="P102" s="144"/>
      <c r="Q102" s="144"/>
      <c r="R102" s="144"/>
      <c r="S102" s="144">
        <v>9613</v>
      </c>
      <c r="T102" s="129">
        <f t="shared" si="21"/>
        <v>0</v>
      </c>
      <c r="U102" s="146"/>
      <c r="V102" s="146"/>
    </row>
    <row r="103" spans="1:22" s="147" customFormat="1" ht="133.5" customHeight="1">
      <c r="A103" s="127">
        <v>3192</v>
      </c>
      <c r="B103" s="143" t="s">
        <v>123</v>
      </c>
      <c r="C103" s="144">
        <f>M103</f>
        <v>47150</v>
      </c>
      <c r="D103" s="129">
        <f t="shared" si="22"/>
        <v>47150</v>
      </c>
      <c r="E103" s="144"/>
      <c r="F103" s="144"/>
      <c r="G103" s="144"/>
      <c r="H103" s="130"/>
      <c r="I103" s="144"/>
      <c r="J103" s="144"/>
      <c r="K103" s="144"/>
      <c r="L103" s="144"/>
      <c r="M103" s="145">
        <f>6197+7245+17265+3000+5504+7939</f>
        <v>47150</v>
      </c>
      <c r="N103" s="144"/>
      <c r="O103" s="144"/>
      <c r="P103" s="144"/>
      <c r="Q103" s="144"/>
      <c r="R103" s="144"/>
      <c r="S103" s="144">
        <f>M103</f>
        <v>47150</v>
      </c>
      <c r="T103" s="129">
        <f t="shared" si="21"/>
        <v>0</v>
      </c>
      <c r="U103" s="146"/>
      <c r="V103" s="146"/>
    </row>
    <row r="104" spans="1:22" s="147" customFormat="1" ht="77.25" customHeight="1">
      <c r="A104" s="148">
        <v>3121</v>
      </c>
      <c r="B104" s="159" t="s">
        <v>136</v>
      </c>
      <c r="C104" s="144">
        <f>30000+69316</f>
        <v>99316</v>
      </c>
      <c r="D104" s="129">
        <f t="shared" si="22"/>
        <v>99316</v>
      </c>
      <c r="E104" s="144"/>
      <c r="F104" s="144"/>
      <c r="G104" s="144"/>
      <c r="H104" s="130"/>
      <c r="I104" s="144"/>
      <c r="J104" s="144"/>
      <c r="K104" s="144"/>
      <c r="L104" s="144"/>
      <c r="M104" s="145">
        <f>C104</f>
        <v>99316</v>
      </c>
      <c r="N104" s="144"/>
      <c r="O104" s="144"/>
      <c r="P104" s="144"/>
      <c r="Q104" s="144"/>
      <c r="R104" s="158"/>
      <c r="S104" s="144">
        <f>M104</f>
        <v>99316</v>
      </c>
      <c r="T104" s="129">
        <f t="shared" si="21"/>
        <v>0</v>
      </c>
      <c r="U104" s="146"/>
      <c r="V104" s="146"/>
    </row>
    <row r="105" spans="1:22" s="147" customFormat="1" ht="66.75" customHeight="1">
      <c r="A105" s="148">
        <v>3011.3012</v>
      </c>
      <c r="B105" s="159" t="s">
        <v>150</v>
      </c>
      <c r="C105" s="158">
        <v>-28711355</v>
      </c>
      <c r="D105" s="172">
        <f t="shared" si="22"/>
        <v>-28711355</v>
      </c>
      <c r="E105" s="144"/>
      <c r="F105" s="144"/>
      <c r="G105" s="144"/>
      <c r="H105" s="130"/>
      <c r="I105" s="144"/>
      <c r="J105" s="144"/>
      <c r="K105" s="144"/>
      <c r="L105" s="144"/>
      <c r="M105" s="145"/>
      <c r="N105" s="144"/>
      <c r="O105" s="144"/>
      <c r="P105" s="144"/>
      <c r="Q105" s="144"/>
      <c r="R105" s="158">
        <v>-28711355</v>
      </c>
      <c r="S105" s="158">
        <f>R105</f>
        <v>-28711355</v>
      </c>
      <c r="T105" s="129">
        <f t="shared" si="21"/>
        <v>0</v>
      </c>
      <c r="U105" s="146"/>
      <c r="V105" s="146"/>
    </row>
    <row r="106" spans="1:22" s="147" customFormat="1" ht="69.75" customHeight="1">
      <c r="A106" s="148">
        <v>3011.3012</v>
      </c>
      <c r="B106" s="159" t="s">
        <v>150</v>
      </c>
      <c r="C106" s="158">
        <v>560000</v>
      </c>
      <c r="D106" s="172">
        <f t="shared" si="22"/>
        <v>560000</v>
      </c>
      <c r="E106" s="144"/>
      <c r="F106" s="144"/>
      <c r="G106" s="144"/>
      <c r="H106" s="130"/>
      <c r="I106" s="144"/>
      <c r="J106" s="144"/>
      <c r="K106" s="144"/>
      <c r="L106" s="144"/>
      <c r="M106" s="145"/>
      <c r="N106" s="144"/>
      <c r="O106" s="144"/>
      <c r="P106" s="144"/>
      <c r="Q106" s="144"/>
      <c r="R106" s="158">
        <v>560000</v>
      </c>
      <c r="S106" s="158">
        <f>R106</f>
        <v>560000</v>
      </c>
      <c r="T106" s="129">
        <f>C106-D106</f>
        <v>0</v>
      </c>
      <c r="U106" s="146"/>
      <c r="V106" s="146"/>
    </row>
    <row r="107" spans="1:22" s="147" customFormat="1" ht="108.75" customHeight="1">
      <c r="A107" s="148">
        <v>3032</v>
      </c>
      <c r="B107" s="159" t="s">
        <v>213</v>
      </c>
      <c r="C107" s="144">
        <f>212692.54</f>
        <v>212692.54</v>
      </c>
      <c r="D107" s="129">
        <f t="shared" si="22"/>
        <v>80401.75</v>
      </c>
      <c r="E107" s="144"/>
      <c r="F107" s="144"/>
      <c r="G107" s="144"/>
      <c r="H107" s="130"/>
      <c r="I107" s="144"/>
      <c r="J107" s="144"/>
      <c r="K107" s="144"/>
      <c r="L107" s="144"/>
      <c r="M107" s="145">
        <f>15859.41+64542.34</f>
        <v>80401.75</v>
      </c>
      <c r="N107" s="144"/>
      <c r="O107" s="144"/>
      <c r="P107" s="144"/>
      <c r="Q107" s="144"/>
      <c r="R107" s="158"/>
      <c r="S107" s="144">
        <f>M107+N107</f>
        <v>80401.75</v>
      </c>
      <c r="T107" s="129">
        <f t="shared" si="21"/>
        <v>132290.79</v>
      </c>
      <c r="U107" s="146"/>
      <c r="V107" s="146"/>
    </row>
    <row r="108" spans="1:22" s="258" customFormat="1" ht="108.75" customHeight="1">
      <c r="A108" s="4">
        <v>3032</v>
      </c>
      <c r="B108" s="239" t="s">
        <v>213</v>
      </c>
      <c r="C108" s="35">
        <f>212692.54</f>
        <v>212692.54</v>
      </c>
      <c r="D108" s="68">
        <f t="shared" si="22"/>
        <v>99797.03</v>
      </c>
      <c r="E108" s="35">
        <v>32170</v>
      </c>
      <c r="F108" s="35"/>
      <c r="G108" s="35"/>
      <c r="H108" s="59"/>
      <c r="I108" s="35"/>
      <c r="J108" s="35"/>
      <c r="K108" s="35"/>
      <c r="L108" s="35"/>
      <c r="M108" s="80">
        <f>2516.02+549+848.3+2477.72+8676+2.08</f>
        <v>15069.119999999999</v>
      </c>
      <c r="N108" s="35">
        <f>34593+17964.91</f>
        <v>52557.91</v>
      </c>
      <c r="O108" s="35"/>
      <c r="P108" s="35"/>
      <c r="Q108" s="35"/>
      <c r="R108" s="256"/>
      <c r="S108" s="35"/>
      <c r="T108" s="68"/>
      <c r="U108" s="257"/>
      <c r="V108" s="257"/>
    </row>
    <row r="109" spans="1:22" s="74" customFormat="1" ht="30.75" customHeight="1">
      <c r="A109" s="51">
        <v>40000</v>
      </c>
      <c r="B109" s="73" t="s">
        <v>11</v>
      </c>
      <c r="C109" s="49">
        <f aca="true" t="shared" si="23" ref="C109:T109">SUM(C110:C124)</f>
        <v>447713.32</v>
      </c>
      <c r="D109" s="49">
        <f t="shared" si="23"/>
        <v>-19207.679999999993</v>
      </c>
      <c r="E109" s="49">
        <f t="shared" si="23"/>
        <v>2000</v>
      </c>
      <c r="F109" s="49">
        <f t="shared" si="23"/>
        <v>0</v>
      </c>
      <c r="G109" s="49">
        <f t="shared" si="23"/>
        <v>0</v>
      </c>
      <c r="H109" s="49">
        <f t="shared" si="23"/>
        <v>263600</v>
      </c>
      <c r="I109" s="49">
        <f t="shared" si="23"/>
        <v>263600</v>
      </c>
      <c r="J109" s="49">
        <f t="shared" si="23"/>
        <v>0</v>
      </c>
      <c r="K109" s="49">
        <f t="shared" si="23"/>
        <v>0</v>
      </c>
      <c r="L109" s="49">
        <f t="shared" si="23"/>
        <v>0</v>
      </c>
      <c r="M109" s="49">
        <f t="shared" si="23"/>
        <v>0</v>
      </c>
      <c r="N109" s="49">
        <f t="shared" si="23"/>
        <v>-284807.68</v>
      </c>
      <c r="O109" s="49">
        <f t="shared" si="23"/>
        <v>0</v>
      </c>
      <c r="P109" s="49">
        <f t="shared" si="23"/>
        <v>0</v>
      </c>
      <c r="Q109" s="49">
        <f t="shared" si="23"/>
        <v>0</v>
      </c>
      <c r="R109" s="49">
        <f t="shared" si="23"/>
        <v>0</v>
      </c>
      <c r="S109" s="49">
        <f t="shared" si="23"/>
        <v>81887</v>
      </c>
      <c r="T109" s="49">
        <f t="shared" si="23"/>
        <v>466921</v>
      </c>
      <c r="U109" s="49">
        <f>SUM(U110:U111)</f>
        <v>0</v>
      </c>
      <c r="V109" s="49">
        <f>SUM(V110:V111)</f>
        <v>0</v>
      </c>
    </row>
    <row r="110" spans="1:22" s="179" customFormat="1" ht="47.25" customHeight="1">
      <c r="A110" s="142">
        <v>40000</v>
      </c>
      <c r="B110" s="143" t="s">
        <v>29</v>
      </c>
      <c r="C110" s="129">
        <f>40000+41887</f>
        <v>81887</v>
      </c>
      <c r="D110" s="129">
        <f>E110+F110+G110+M110+N110+R110+J110</f>
        <v>81887</v>
      </c>
      <c r="E110" s="130"/>
      <c r="F110" s="130"/>
      <c r="G110" s="130"/>
      <c r="H110" s="130">
        <f>SUM(I110:J110)</f>
        <v>0</v>
      </c>
      <c r="I110" s="130">
        <f>SUM(J110:K110)</f>
        <v>0</v>
      </c>
      <c r="J110" s="130">
        <f>SUM(K110:L110)</f>
        <v>0</v>
      </c>
      <c r="K110" s="130"/>
      <c r="L110" s="130"/>
      <c r="M110" s="130"/>
      <c r="N110" s="130">
        <f>C110</f>
        <v>81887</v>
      </c>
      <c r="O110" s="130"/>
      <c r="P110" s="130"/>
      <c r="Q110" s="130"/>
      <c r="R110" s="130"/>
      <c r="S110" s="130">
        <f>N110</f>
        <v>81887</v>
      </c>
      <c r="T110" s="129">
        <f>C110-D110</f>
        <v>0</v>
      </c>
      <c r="U110" s="178"/>
      <c r="V110" s="178"/>
    </row>
    <row r="111" spans="1:22" s="72" customFormat="1" ht="39.75" customHeight="1">
      <c r="A111" s="60">
        <v>4030</v>
      </c>
      <c r="B111" s="61" t="s">
        <v>37</v>
      </c>
      <c r="C111" s="68">
        <f>301157+247534</f>
        <v>548691</v>
      </c>
      <c r="D111" s="68">
        <f>E111+F111+G111+M111+N111+R111+J111+H111+L111</f>
        <v>198900</v>
      </c>
      <c r="E111" s="59"/>
      <c r="F111" s="59"/>
      <c r="G111" s="59"/>
      <c r="H111" s="59">
        <f>SUM(I111:J111)</f>
        <v>198900</v>
      </c>
      <c r="I111" s="59">
        <v>198900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68">
        <f>C111-D111</f>
        <v>349791</v>
      </c>
      <c r="U111" s="117"/>
      <c r="V111" s="117"/>
    </row>
    <row r="112" spans="1:22" s="72" customFormat="1" ht="30.75" customHeight="1">
      <c r="A112" s="60">
        <v>4030</v>
      </c>
      <c r="B112" s="61" t="s">
        <v>109</v>
      </c>
      <c r="C112" s="68">
        <v>61000</v>
      </c>
      <c r="D112" s="68">
        <f>E112+F112+G112+M112+N112+R112+J112+H112+L112</f>
        <v>0</v>
      </c>
      <c r="E112" s="59"/>
      <c r="F112" s="59"/>
      <c r="G112" s="59"/>
      <c r="H112" s="59">
        <f aca="true" t="shared" si="24" ref="H112:H121">SUM(I112:J112)</f>
        <v>0</v>
      </c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68">
        <f aca="true" t="shared" si="25" ref="T112:T124">C112-D112</f>
        <v>61000</v>
      </c>
      <c r="U112" s="117"/>
      <c r="V112" s="117"/>
    </row>
    <row r="113" spans="1:22" s="72" customFormat="1" ht="30.75" customHeight="1">
      <c r="A113" s="60">
        <v>4030</v>
      </c>
      <c r="B113" s="61" t="s">
        <v>189</v>
      </c>
      <c r="C113" s="68">
        <v>1000</v>
      </c>
      <c r="D113" s="68">
        <f>E113+F113+G113+M113+N113+R113+J113+H113+L113</f>
        <v>1000</v>
      </c>
      <c r="E113" s="59">
        <v>1000</v>
      </c>
      <c r="F113" s="59"/>
      <c r="G113" s="59"/>
      <c r="H113" s="59">
        <f t="shared" si="24"/>
        <v>0</v>
      </c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68">
        <f t="shared" si="25"/>
        <v>0</v>
      </c>
      <c r="U113" s="117"/>
      <c r="V113" s="117"/>
    </row>
    <row r="114" spans="1:22" s="72" customFormat="1" ht="27.75" customHeight="1">
      <c r="A114" s="244">
        <v>4030</v>
      </c>
      <c r="B114" s="247" t="s">
        <v>190</v>
      </c>
      <c r="C114" s="68">
        <v>500</v>
      </c>
      <c r="D114" s="68">
        <f aca="true" t="shared" si="26" ref="D114:D119">E114+F114+G114+M114+N114+R114+J114+H114+L114</f>
        <v>500</v>
      </c>
      <c r="E114" s="59">
        <v>500</v>
      </c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68">
        <f t="shared" si="25"/>
        <v>0</v>
      </c>
      <c r="U114" s="117"/>
      <c r="V114" s="117"/>
    </row>
    <row r="115" spans="1:22" s="72" customFormat="1" ht="51.75" customHeight="1">
      <c r="A115" s="244">
        <v>4030</v>
      </c>
      <c r="B115" s="61" t="s">
        <v>211</v>
      </c>
      <c r="C115" s="68">
        <v>-366694.68</v>
      </c>
      <c r="D115" s="68">
        <f t="shared" si="26"/>
        <v>-366694.68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>
        <v>-366694.68</v>
      </c>
      <c r="O115" s="59"/>
      <c r="P115" s="59"/>
      <c r="Q115" s="59"/>
      <c r="R115" s="59"/>
      <c r="S115" s="59"/>
      <c r="T115" s="68">
        <f t="shared" si="25"/>
        <v>0</v>
      </c>
      <c r="U115" s="117"/>
      <c r="V115" s="117"/>
    </row>
    <row r="116" spans="1:22" s="72" customFormat="1" ht="50.25" customHeight="1">
      <c r="A116" s="60">
        <v>4060</v>
      </c>
      <c r="B116" s="61" t="s">
        <v>110</v>
      </c>
      <c r="C116" s="68">
        <f>16500+3630</f>
        <v>20130</v>
      </c>
      <c r="D116" s="68">
        <f t="shared" si="26"/>
        <v>0</v>
      </c>
      <c r="E116" s="59"/>
      <c r="F116" s="59"/>
      <c r="G116" s="59"/>
      <c r="H116" s="59">
        <f t="shared" si="24"/>
        <v>0</v>
      </c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68">
        <f t="shared" si="25"/>
        <v>20130</v>
      </c>
      <c r="U116" s="117"/>
      <c r="V116" s="117"/>
    </row>
    <row r="117" spans="1:22" s="72" customFormat="1" ht="32.25" customHeight="1">
      <c r="A117" s="60">
        <v>4060</v>
      </c>
      <c r="B117" s="61" t="s">
        <v>111</v>
      </c>
      <c r="C117" s="68">
        <v>11000</v>
      </c>
      <c r="D117" s="68">
        <f t="shared" si="26"/>
        <v>0</v>
      </c>
      <c r="E117" s="59"/>
      <c r="F117" s="59"/>
      <c r="G117" s="59"/>
      <c r="H117" s="59">
        <f t="shared" si="24"/>
        <v>0</v>
      </c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68">
        <f t="shared" si="25"/>
        <v>11000</v>
      </c>
      <c r="U117" s="117"/>
      <c r="V117" s="117"/>
    </row>
    <row r="118" spans="1:22" s="72" customFormat="1" ht="50.25" customHeight="1">
      <c r="A118" s="60">
        <v>4060</v>
      </c>
      <c r="B118" s="61" t="s">
        <v>112</v>
      </c>
      <c r="C118" s="68">
        <v>12000</v>
      </c>
      <c r="D118" s="68">
        <f t="shared" si="26"/>
        <v>0</v>
      </c>
      <c r="E118" s="59"/>
      <c r="F118" s="59"/>
      <c r="G118" s="59"/>
      <c r="H118" s="59">
        <f t="shared" si="24"/>
        <v>0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68">
        <f t="shared" si="25"/>
        <v>12000</v>
      </c>
      <c r="U118" s="117"/>
      <c r="V118" s="117"/>
    </row>
    <row r="119" spans="1:22" s="72" customFormat="1" ht="66.75" customHeight="1">
      <c r="A119" s="60">
        <v>4060</v>
      </c>
      <c r="B119" s="61" t="s">
        <v>219</v>
      </c>
      <c r="C119" s="68">
        <v>-60000</v>
      </c>
      <c r="D119" s="68">
        <f t="shared" si="26"/>
        <v>-60000</v>
      </c>
      <c r="E119" s="59"/>
      <c r="F119" s="59"/>
      <c r="G119" s="59"/>
      <c r="H119" s="59"/>
      <c r="I119" s="59"/>
      <c r="J119" s="59"/>
      <c r="K119" s="59"/>
      <c r="L119" s="59">
        <v>-60000</v>
      </c>
      <c r="M119" s="59"/>
      <c r="N119" s="59"/>
      <c r="O119" s="59"/>
      <c r="P119" s="59"/>
      <c r="Q119" s="59"/>
      <c r="R119" s="59"/>
      <c r="S119" s="59"/>
      <c r="T119" s="68">
        <f t="shared" si="25"/>
        <v>0</v>
      </c>
      <c r="U119" s="117"/>
      <c r="V119" s="117"/>
    </row>
    <row r="120" spans="1:22" s="72" customFormat="1" ht="50.25" customHeight="1">
      <c r="A120" s="60">
        <v>4081</v>
      </c>
      <c r="B120" s="61" t="s">
        <v>113</v>
      </c>
      <c r="C120" s="68">
        <v>124700</v>
      </c>
      <c r="D120" s="68">
        <f>E120+F120+G120+M120+N120+R120+J120+H120+L120</f>
        <v>124700</v>
      </c>
      <c r="E120" s="59"/>
      <c r="F120" s="59"/>
      <c r="G120" s="59"/>
      <c r="H120" s="59">
        <f t="shared" si="24"/>
        <v>64700</v>
      </c>
      <c r="I120" s="59">
        <v>64700</v>
      </c>
      <c r="J120" s="59"/>
      <c r="K120" s="59"/>
      <c r="L120" s="59">
        <v>60000</v>
      </c>
      <c r="M120" s="59"/>
      <c r="N120" s="59"/>
      <c r="O120" s="59"/>
      <c r="P120" s="59"/>
      <c r="Q120" s="59"/>
      <c r="R120" s="59"/>
      <c r="S120" s="59"/>
      <c r="T120" s="68">
        <f t="shared" si="25"/>
        <v>0</v>
      </c>
      <c r="U120" s="117"/>
      <c r="V120" s="117"/>
    </row>
    <row r="121" spans="1:22" s="72" customFormat="1" ht="32.25" customHeight="1">
      <c r="A121" s="60">
        <v>4081</v>
      </c>
      <c r="B121" s="61" t="s">
        <v>114</v>
      </c>
      <c r="C121" s="68">
        <f>5000+5000</f>
        <v>10000</v>
      </c>
      <c r="D121" s="68">
        <f>E121+F121+G121+M121+N121+R121+J121</f>
        <v>0</v>
      </c>
      <c r="E121" s="59"/>
      <c r="F121" s="59"/>
      <c r="G121" s="59"/>
      <c r="H121" s="59">
        <f t="shared" si="24"/>
        <v>0</v>
      </c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68">
        <f t="shared" si="25"/>
        <v>10000</v>
      </c>
      <c r="U121" s="117"/>
      <c r="V121" s="117"/>
    </row>
    <row r="122" spans="1:22" s="72" customFormat="1" ht="27.75" customHeight="1">
      <c r="A122" s="60">
        <v>4081</v>
      </c>
      <c r="B122" s="61" t="s">
        <v>191</v>
      </c>
      <c r="C122" s="68">
        <v>500</v>
      </c>
      <c r="D122" s="68">
        <f>E122+F122+G122+M122+N122+R122+J122</f>
        <v>500</v>
      </c>
      <c r="E122" s="59">
        <v>500</v>
      </c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68">
        <f t="shared" si="25"/>
        <v>0</v>
      </c>
      <c r="U122" s="117"/>
      <c r="V122" s="117"/>
    </row>
    <row r="123" spans="1:22" s="72" customFormat="1" ht="26.25" customHeight="1">
      <c r="A123" s="60">
        <v>4081</v>
      </c>
      <c r="B123" s="61" t="s">
        <v>192</v>
      </c>
      <c r="C123" s="68">
        <v>1000</v>
      </c>
      <c r="D123" s="68">
        <f>E123+F123+G123+M123+N123+R123+J123</f>
        <v>0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68">
        <f t="shared" si="25"/>
        <v>1000</v>
      </c>
      <c r="U123" s="117"/>
      <c r="V123" s="117"/>
    </row>
    <row r="124" spans="1:22" s="72" customFormat="1" ht="27.75" customHeight="1">
      <c r="A124" s="60">
        <v>4081</v>
      </c>
      <c r="B124" s="61" t="s">
        <v>193</v>
      </c>
      <c r="C124" s="68">
        <v>2000</v>
      </c>
      <c r="D124" s="68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68">
        <f t="shared" si="25"/>
        <v>2000</v>
      </c>
      <c r="U124" s="117"/>
      <c r="V124" s="117"/>
    </row>
    <row r="125" spans="1:22" s="83" customFormat="1" ht="36.75" customHeight="1">
      <c r="A125" s="24">
        <v>5000</v>
      </c>
      <c r="B125" s="5" t="s">
        <v>25</v>
      </c>
      <c r="C125" s="34">
        <f>SUM(C126:C129)</f>
        <v>403817.02</v>
      </c>
      <c r="D125" s="34">
        <f aca="true" t="shared" si="27" ref="D125:V125">SUM(D126:D129)</f>
        <v>191487.02000000002</v>
      </c>
      <c r="E125" s="34">
        <f t="shared" si="27"/>
        <v>0</v>
      </c>
      <c r="F125" s="34">
        <f t="shared" si="27"/>
        <v>0</v>
      </c>
      <c r="G125" s="34">
        <f t="shared" si="27"/>
        <v>0</v>
      </c>
      <c r="H125" s="34">
        <f t="shared" si="27"/>
        <v>60000</v>
      </c>
      <c r="I125" s="34">
        <f t="shared" si="27"/>
        <v>60000</v>
      </c>
      <c r="J125" s="34">
        <f t="shared" si="27"/>
        <v>0</v>
      </c>
      <c r="K125" s="34">
        <f t="shared" si="27"/>
        <v>0</v>
      </c>
      <c r="L125" s="34">
        <f t="shared" si="27"/>
        <v>0</v>
      </c>
      <c r="M125" s="34">
        <f t="shared" si="27"/>
        <v>101487.02</v>
      </c>
      <c r="N125" s="34">
        <f t="shared" si="27"/>
        <v>30000</v>
      </c>
      <c r="O125" s="34">
        <f t="shared" si="27"/>
        <v>0</v>
      </c>
      <c r="P125" s="34">
        <f t="shared" si="27"/>
        <v>0</v>
      </c>
      <c r="Q125" s="34">
        <f t="shared" si="27"/>
        <v>0</v>
      </c>
      <c r="R125" s="34">
        <f t="shared" si="27"/>
        <v>0</v>
      </c>
      <c r="S125" s="34">
        <f t="shared" si="27"/>
        <v>131487.02000000002</v>
      </c>
      <c r="T125" s="34">
        <f t="shared" si="27"/>
        <v>212330</v>
      </c>
      <c r="U125" s="34">
        <f t="shared" si="27"/>
        <v>0</v>
      </c>
      <c r="V125" s="34">
        <f t="shared" si="27"/>
        <v>0</v>
      </c>
    </row>
    <row r="126" spans="1:22" s="7" customFormat="1" ht="81" customHeight="1">
      <c r="A126" s="4">
        <v>5032</v>
      </c>
      <c r="B126" s="214" t="s">
        <v>195</v>
      </c>
      <c r="C126" s="81">
        <v>190410</v>
      </c>
      <c r="D126" s="68">
        <f>E126+F126+G126+M126+N126+R126+J126+H126</f>
        <v>30000</v>
      </c>
      <c r="E126" s="33"/>
      <c r="F126" s="33"/>
      <c r="G126" s="33"/>
      <c r="H126" s="59">
        <f>SUM(I126:J126)</f>
        <v>30000</v>
      </c>
      <c r="I126" s="33">
        <v>30000</v>
      </c>
      <c r="J126" s="33"/>
      <c r="K126" s="33"/>
      <c r="L126" s="33"/>
      <c r="M126" s="79"/>
      <c r="N126" s="33"/>
      <c r="O126" s="33"/>
      <c r="P126" s="33"/>
      <c r="Q126" s="33"/>
      <c r="R126" s="33"/>
      <c r="S126" s="69"/>
      <c r="T126" s="68">
        <f aca="true" t="shared" si="28" ref="T126:T155">C126-D126</f>
        <v>160410</v>
      </c>
      <c r="U126" s="116"/>
      <c r="V126" s="116"/>
    </row>
    <row r="127" spans="1:22" s="7" customFormat="1" ht="111" customHeight="1">
      <c r="A127" s="4">
        <v>5053</v>
      </c>
      <c r="B127" s="214" t="s">
        <v>160</v>
      </c>
      <c r="C127" s="81">
        <f>61920+7000+10000+3000</f>
        <v>81920</v>
      </c>
      <c r="D127" s="68">
        <f>E127+F127+G127+M127+N127+R127+J127+H127</f>
        <v>30000</v>
      </c>
      <c r="E127" s="33"/>
      <c r="F127" s="33"/>
      <c r="G127" s="33"/>
      <c r="H127" s="59">
        <f>SUM(I127:J127)</f>
        <v>30000</v>
      </c>
      <c r="I127" s="33">
        <v>30000</v>
      </c>
      <c r="J127" s="33"/>
      <c r="K127" s="33"/>
      <c r="L127" s="33"/>
      <c r="M127" s="79"/>
      <c r="N127" s="33"/>
      <c r="O127" s="33"/>
      <c r="P127" s="33"/>
      <c r="Q127" s="33"/>
      <c r="R127" s="33"/>
      <c r="S127" s="69"/>
      <c r="T127" s="68">
        <f t="shared" si="28"/>
        <v>51920</v>
      </c>
      <c r="U127" s="116"/>
      <c r="V127" s="116"/>
    </row>
    <row r="128" spans="1:22" s="134" customFormat="1" ht="148.5" customHeight="1">
      <c r="A128" s="148">
        <v>5032</v>
      </c>
      <c r="B128" s="155" t="s">
        <v>154</v>
      </c>
      <c r="C128" s="150">
        <f>102950+4537.02+14000</f>
        <v>121487.02</v>
      </c>
      <c r="D128" s="129">
        <f aca="true" t="shared" si="29" ref="D128:D147">E128+F128+G128+M128+N128+R128+J128</f>
        <v>121487.02</v>
      </c>
      <c r="E128" s="136"/>
      <c r="F128" s="136"/>
      <c r="G128" s="136"/>
      <c r="H128" s="130"/>
      <c r="I128" s="136"/>
      <c r="J128" s="136"/>
      <c r="K128" s="136"/>
      <c r="L128" s="136"/>
      <c r="M128" s="290">
        <f>31140+51810+4537.02+14000</f>
        <v>101487.02</v>
      </c>
      <c r="N128" s="136">
        <v>20000</v>
      </c>
      <c r="O128" s="136"/>
      <c r="P128" s="136"/>
      <c r="Q128" s="136"/>
      <c r="R128" s="136"/>
      <c r="S128" s="136">
        <f>M128+N128</f>
        <v>121487.02</v>
      </c>
      <c r="T128" s="129">
        <f t="shared" si="28"/>
        <v>0</v>
      </c>
      <c r="U128" s="133"/>
      <c r="V128" s="133"/>
    </row>
    <row r="129" spans="1:22" s="164" customFormat="1" ht="60" customHeight="1">
      <c r="A129" s="177">
        <v>5053</v>
      </c>
      <c r="B129" s="176" t="s">
        <v>58</v>
      </c>
      <c r="C129" s="150">
        <v>10000</v>
      </c>
      <c r="D129" s="129">
        <f t="shared" si="29"/>
        <v>10000</v>
      </c>
      <c r="E129" s="162"/>
      <c r="F129" s="162"/>
      <c r="G129" s="162"/>
      <c r="H129" s="129"/>
      <c r="I129" s="162"/>
      <c r="J129" s="162"/>
      <c r="K129" s="162"/>
      <c r="L129" s="162"/>
      <c r="M129" s="161"/>
      <c r="N129" s="162">
        <v>10000</v>
      </c>
      <c r="O129" s="162"/>
      <c r="P129" s="162"/>
      <c r="Q129" s="162"/>
      <c r="R129" s="162"/>
      <c r="S129" s="162">
        <f>D129</f>
        <v>10000</v>
      </c>
      <c r="T129" s="129">
        <f t="shared" si="28"/>
        <v>0</v>
      </c>
      <c r="U129" s="163"/>
      <c r="V129" s="163"/>
    </row>
    <row r="130" spans="1:22" s="134" customFormat="1" ht="94.5" customHeight="1">
      <c r="A130" s="156" t="s">
        <v>30</v>
      </c>
      <c r="B130" s="157" t="s">
        <v>124</v>
      </c>
      <c r="C130" s="150">
        <f>M130</f>
        <v>5589</v>
      </c>
      <c r="D130" s="129">
        <f t="shared" si="29"/>
        <v>5589</v>
      </c>
      <c r="E130" s="136"/>
      <c r="F130" s="136"/>
      <c r="G130" s="136"/>
      <c r="H130" s="130"/>
      <c r="I130" s="136"/>
      <c r="J130" s="136"/>
      <c r="K130" s="136"/>
      <c r="L130" s="136"/>
      <c r="M130" s="290">
        <f>508+3557+1016+508</f>
        <v>5589</v>
      </c>
      <c r="N130" s="136"/>
      <c r="O130" s="136"/>
      <c r="P130" s="136"/>
      <c r="Q130" s="136"/>
      <c r="R130" s="136"/>
      <c r="S130" s="136">
        <f>M130</f>
        <v>5589</v>
      </c>
      <c r="T130" s="129">
        <f t="shared" si="28"/>
        <v>0</v>
      </c>
      <c r="U130" s="133"/>
      <c r="V130" s="133"/>
    </row>
    <row r="131" spans="1:22" s="179" customFormat="1" ht="198.75" customHeight="1">
      <c r="A131" s="140" t="s">
        <v>42</v>
      </c>
      <c r="B131" s="141" t="s">
        <v>159</v>
      </c>
      <c r="C131" s="128">
        <f>M131+N131</f>
        <v>62600</v>
      </c>
      <c r="D131" s="129">
        <f t="shared" si="29"/>
        <v>62600</v>
      </c>
      <c r="E131" s="130"/>
      <c r="F131" s="130"/>
      <c r="G131" s="130"/>
      <c r="H131" s="130"/>
      <c r="I131" s="130"/>
      <c r="J131" s="130"/>
      <c r="K131" s="130"/>
      <c r="L131" s="130"/>
      <c r="M131" s="132">
        <f>3000+700+1500+10000+9700+12700+5000</f>
        <v>42600</v>
      </c>
      <c r="N131" s="59">
        <v>20000</v>
      </c>
      <c r="O131" s="130"/>
      <c r="P131" s="130"/>
      <c r="Q131" s="130"/>
      <c r="R131" s="130"/>
      <c r="S131" s="130">
        <f>M131</f>
        <v>42600</v>
      </c>
      <c r="T131" s="130">
        <f t="shared" si="28"/>
        <v>0</v>
      </c>
      <c r="U131" s="178"/>
      <c r="V131" s="178"/>
    </row>
    <row r="132" spans="1:22" s="134" customFormat="1" ht="101.25" customHeight="1">
      <c r="A132" s="140" t="s">
        <v>117</v>
      </c>
      <c r="B132" s="141" t="s">
        <v>137</v>
      </c>
      <c r="C132" s="128">
        <f>D132</f>
        <v>1400</v>
      </c>
      <c r="D132" s="129">
        <f t="shared" si="29"/>
        <v>1400</v>
      </c>
      <c r="E132" s="130"/>
      <c r="F132" s="130"/>
      <c r="G132" s="130"/>
      <c r="H132" s="131"/>
      <c r="I132" s="130"/>
      <c r="J132" s="130"/>
      <c r="K132" s="130"/>
      <c r="L132" s="130"/>
      <c r="M132" s="132"/>
      <c r="N132" s="130"/>
      <c r="O132" s="130"/>
      <c r="P132" s="130"/>
      <c r="Q132" s="130"/>
      <c r="R132" s="130">
        <v>1400</v>
      </c>
      <c r="S132" s="130">
        <f>D132</f>
        <v>1400</v>
      </c>
      <c r="T132" s="130">
        <f t="shared" si="28"/>
        <v>0</v>
      </c>
      <c r="U132" s="133"/>
      <c r="V132" s="133"/>
    </row>
    <row r="133" spans="1:22" s="134" customFormat="1" ht="102.75" customHeight="1">
      <c r="A133" s="140" t="s">
        <v>117</v>
      </c>
      <c r="B133" s="141" t="s">
        <v>138</v>
      </c>
      <c r="C133" s="128">
        <f>5800+5100+5100</f>
        <v>16000</v>
      </c>
      <c r="D133" s="129">
        <f t="shared" si="29"/>
        <v>16000</v>
      </c>
      <c r="E133" s="130"/>
      <c r="F133" s="130"/>
      <c r="G133" s="130"/>
      <c r="H133" s="131"/>
      <c r="I133" s="130"/>
      <c r="J133" s="130"/>
      <c r="K133" s="130"/>
      <c r="L133" s="130"/>
      <c r="M133" s="132">
        <f>5800+5100+5100</f>
        <v>16000</v>
      </c>
      <c r="N133" s="130"/>
      <c r="O133" s="130"/>
      <c r="P133" s="130"/>
      <c r="Q133" s="130"/>
      <c r="R133" s="130"/>
      <c r="S133" s="130">
        <f>M133</f>
        <v>16000</v>
      </c>
      <c r="T133" s="130">
        <f t="shared" si="28"/>
        <v>0</v>
      </c>
      <c r="U133" s="133"/>
      <c r="V133" s="133"/>
    </row>
    <row r="134" spans="1:22" s="134" customFormat="1" ht="54.75" customHeight="1">
      <c r="A134" s="140" t="s">
        <v>147</v>
      </c>
      <c r="B134" s="226" t="s">
        <v>148</v>
      </c>
      <c r="C134" s="128">
        <v>-36310</v>
      </c>
      <c r="D134" s="129">
        <f>E134+F134+G134+M134+N134+R134+J134+L134</f>
        <v>-36310</v>
      </c>
      <c r="E134" s="130"/>
      <c r="F134" s="130"/>
      <c r="G134" s="130"/>
      <c r="H134" s="131"/>
      <c r="I134" s="130"/>
      <c r="J134" s="130"/>
      <c r="K134" s="130"/>
      <c r="L134" s="130">
        <v>-36310</v>
      </c>
      <c r="M134" s="132"/>
      <c r="N134" s="130"/>
      <c r="O134" s="130"/>
      <c r="P134" s="130"/>
      <c r="Q134" s="130"/>
      <c r="R134" s="130"/>
      <c r="S134" s="130">
        <v>-36310</v>
      </c>
      <c r="T134" s="130">
        <f t="shared" si="28"/>
        <v>0</v>
      </c>
      <c r="U134" s="133"/>
      <c r="V134" s="133"/>
    </row>
    <row r="135" spans="1:22" s="7" customFormat="1" ht="74.25" customHeight="1">
      <c r="A135" s="96" t="s">
        <v>164</v>
      </c>
      <c r="B135" s="233" t="s">
        <v>165</v>
      </c>
      <c r="C135" s="230">
        <f>111400+664200+259900</f>
        <v>1035500</v>
      </c>
      <c r="D135" s="68">
        <f>E135+F135+G135+M135+N135+R135+J135+H135</f>
        <v>60000</v>
      </c>
      <c r="E135" s="59"/>
      <c r="F135" s="59"/>
      <c r="G135" s="59"/>
      <c r="H135" s="231">
        <f>SUM(I135:J135)</f>
        <v>60000</v>
      </c>
      <c r="I135" s="59">
        <v>60000</v>
      </c>
      <c r="J135" s="59"/>
      <c r="K135" s="59"/>
      <c r="L135" s="59"/>
      <c r="M135" s="232"/>
      <c r="N135" s="59"/>
      <c r="O135" s="59"/>
      <c r="P135" s="59"/>
      <c r="Q135" s="59"/>
      <c r="R135" s="59"/>
      <c r="S135" s="59"/>
      <c r="T135" s="59">
        <f t="shared" si="28"/>
        <v>975500</v>
      </c>
      <c r="U135" s="116"/>
      <c r="V135" s="116"/>
    </row>
    <row r="136" spans="1:22" s="134" customFormat="1" ht="83.25" customHeight="1">
      <c r="A136" s="140" t="s">
        <v>62</v>
      </c>
      <c r="B136" s="141" t="s">
        <v>63</v>
      </c>
      <c r="C136" s="128">
        <v>17000</v>
      </c>
      <c r="D136" s="129">
        <f t="shared" si="29"/>
        <v>17000</v>
      </c>
      <c r="E136" s="130"/>
      <c r="F136" s="130"/>
      <c r="G136" s="130"/>
      <c r="H136" s="131"/>
      <c r="I136" s="130"/>
      <c r="J136" s="130"/>
      <c r="K136" s="130"/>
      <c r="L136" s="130"/>
      <c r="M136" s="132"/>
      <c r="N136" s="130"/>
      <c r="O136" s="130"/>
      <c r="P136" s="130"/>
      <c r="Q136" s="130"/>
      <c r="R136" s="130">
        <v>17000</v>
      </c>
      <c r="S136" s="130">
        <f>R136</f>
        <v>17000</v>
      </c>
      <c r="T136" s="130">
        <f t="shared" si="28"/>
        <v>0</v>
      </c>
      <c r="U136" s="133"/>
      <c r="V136" s="133"/>
    </row>
    <row r="137" spans="1:22" s="134" customFormat="1" ht="83.25" customHeight="1">
      <c r="A137" s="140" t="s">
        <v>151</v>
      </c>
      <c r="B137" s="141" t="s">
        <v>152</v>
      </c>
      <c r="C137" s="128">
        <v>150000</v>
      </c>
      <c r="D137" s="129">
        <f t="shared" si="29"/>
        <v>150000</v>
      </c>
      <c r="E137" s="130"/>
      <c r="F137" s="130"/>
      <c r="G137" s="130"/>
      <c r="H137" s="131"/>
      <c r="I137" s="130"/>
      <c r="J137" s="130"/>
      <c r="K137" s="130"/>
      <c r="L137" s="130"/>
      <c r="M137" s="132"/>
      <c r="N137" s="130"/>
      <c r="O137" s="130"/>
      <c r="P137" s="130"/>
      <c r="Q137" s="130"/>
      <c r="R137" s="130">
        <v>150000</v>
      </c>
      <c r="S137" s="130">
        <v>150000</v>
      </c>
      <c r="T137" s="130">
        <f t="shared" si="28"/>
        <v>0</v>
      </c>
      <c r="U137" s="133"/>
      <c r="V137" s="133"/>
    </row>
    <row r="138" spans="1:22" s="7" customFormat="1" ht="57.75" customHeight="1">
      <c r="A138" s="96" t="s">
        <v>151</v>
      </c>
      <c r="B138" s="233" t="s">
        <v>174</v>
      </c>
      <c r="C138" s="230">
        <f>SUM(C139:C146)</f>
        <v>610000</v>
      </c>
      <c r="D138" s="59">
        <f t="shared" si="29"/>
        <v>610000</v>
      </c>
      <c r="E138" s="59"/>
      <c r="F138" s="59"/>
      <c r="G138" s="59"/>
      <c r="H138" s="231"/>
      <c r="I138" s="59"/>
      <c r="J138" s="59"/>
      <c r="K138" s="59"/>
      <c r="L138" s="59"/>
      <c r="M138" s="232"/>
      <c r="N138" s="59"/>
      <c r="O138" s="59"/>
      <c r="P138" s="59"/>
      <c r="Q138" s="59"/>
      <c r="R138" s="59">
        <v>610000</v>
      </c>
      <c r="S138" s="59"/>
      <c r="T138" s="59">
        <f t="shared" si="28"/>
        <v>0</v>
      </c>
      <c r="U138" s="116"/>
      <c r="V138" s="116"/>
    </row>
    <row r="139" spans="1:22" s="7" customFormat="1" ht="68.25" customHeight="1">
      <c r="A139" s="96"/>
      <c r="B139" s="234" t="s">
        <v>175</v>
      </c>
      <c r="C139" s="235">
        <v>80000</v>
      </c>
      <c r="D139" s="68">
        <f t="shared" si="29"/>
        <v>80000</v>
      </c>
      <c r="E139" s="59"/>
      <c r="F139" s="59"/>
      <c r="G139" s="59"/>
      <c r="H139" s="231"/>
      <c r="I139" s="59"/>
      <c r="J139" s="59"/>
      <c r="K139" s="59"/>
      <c r="L139" s="59"/>
      <c r="M139" s="232"/>
      <c r="N139" s="59"/>
      <c r="O139" s="59"/>
      <c r="P139" s="59"/>
      <c r="Q139" s="59"/>
      <c r="R139" s="235">
        <v>80000</v>
      </c>
      <c r="S139" s="59"/>
      <c r="T139" s="59">
        <f t="shared" si="28"/>
        <v>0</v>
      </c>
      <c r="U139" s="116"/>
      <c r="V139" s="116"/>
    </row>
    <row r="140" spans="1:22" s="7" customFormat="1" ht="83.25" customHeight="1">
      <c r="A140" s="96"/>
      <c r="B140" s="234" t="s">
        <v>176</v>
      </c>
      <c r="C140" s="235">
        <v>100000</v>
      </c>
      <c r="D140" s="68">
        <f t="shared" si="29"/>
        <v>100000</v>
      </c>
      <c r="E140" s="59"/>
      <c r="F140" s="59"/>
      <c r="G140" s="59"/>
      <c r="H140" s="231"/>
      <c r="I140" s="59"/>
      <c r="J140" s="59"/>
      <c r="K140" s="59"/>
      <c r="L140" s="59"/>
      <c r="M140" s="232"/>
      <c r="N140" s="59"/>
      <c r="O140" s="59"/>
      <c r="P140" s="59"/>
      <c r="Q140" s="59"/>
      <c r="R140" s="235">
        <v>100000</v>
      </c>
      <c r="S140" s="59"/>
      <c r="T140" s="59">
        <f t="shared" si="28"/>
        <v>0</v>
      </c>
      <c r="U140" s="116"/>
      <c r="V140" s="116"/>
    </row>
    <row r="141" spans="1:22" s="7" customFormat="1" ht="75.75" customHeight="1">
      <c r="A141" s="96"/>
      <c r="B141" s="234" t="s">
        <v>177</v>
      </c>
      <c r="C141" s="235">
        <v>120000</v>
      </c>
      <c r="D141" s="68">
        <f t="shared" si="29"/>
        <v>120000</v>
      </c>
      <c r="E141" s="59"/>
      <c r="F141" s="59"/>
      <c r="G141" s="59"/>
      <c r="H141" s="231"/>
      <c r="I141" s="59"/>
      <c r="J141" s="59"/>
      <c r="K141" s="59"/>
      <c r="L141" s="59"/>
      <c r="M141" s="232"/>
      <c r="N141" s="59"/>
      <c r="O141" s="59"/>
      <c r="P141" s="59"/>
      <c r="Q141" s="59"/>
      <c r="R141" s="235">
        <v>120000</v>
      </c>
      <c r="S141" s="59"/>
      <c r="T141" s="59">
        <f t="shared" si="28"/>
        <v>0</v>
      </c>
      <c r="U141" s="116"/>
      <c r="V141" s="116"/>
    </row>
    <row r="142" spans="1:22" s="7" customFormat="1" ht="83.25" customHeight="1">
      <c r="A142" s="96"/>
      <c r="B142" s="234" t="s">
        <v>178</v>
      </c>
      <c r="C142" s="235">
        <v>50000</v>
      </c>
      <c r="D142" s="68">
        <f t="shared" si="29"/>
        <v>50000</v>
      </c>
      <c r="E142" s="59"/>
      <c r="F142" s="59"/>
      <c r="G142" s="59"/>
      <c r="H142" s="231"/>
      <c r="I142" s="59"/>
      <c r="J142" s="59"/>
      <c r="K142" s="59"/>
      <c r="L142" s="59"/>
      <c r="M142" s="232"/>
      <c r="N142" s="59"/>
      <c r="O142" s="59"/>
      <c r="P142" s="59"/>
      <c r="Q142" s="59"/>
      <c r="R142" s="235">
        <v>50000</v>
      </c>
      <c r="S142" s="59"/>
      <c r="T142" s="59">
        <f t="shared" si="28"/>
        <v>0</v>
      </c>
      <c r="U142" s="116"/>
      <c r="V142" s="116"/>
    </row>
    <row r="143" spans="1:22" s="7" customFormat="1" ht="69.75" customHeight="1">
      <c r="A143" s="96"/>
      <c r="B143" s="234" t="s">
        <v>214</v>
      </c>
      <c r="C143" s="235">
        <v>60000</v>
      </c>
      <c r="D143" s="68">
        <f t="shared" si="29"/>
        <v>60000</v>
      </c>
      <c r="E143" s="59"/>
      <c r="F143" s="59"/>
      <c r="G143" s="59"/>
      <c r="H143" s="231"/>
      <c r="I143" s="59"/>
      <c r="J143" s="59"/>
      <c r="K143" s="59"/>
      <c r="L143" s="59"/>
      <c r="M143" s="232"/>
      <c r="N143" s="59"/>
      <c r="O143" s="59"/>
      <c r="P143" s="59"/>
      <c r="Q143" s="59"/>
      <c r="R143" s="235">
        <v>60000</v>
      </c>
      <c r="S143" s="59"/>
      <c r="T143" s="59">
        <f t="shared" si="28"/>
        <v>0</v>
      </c>
      <c r="U143" s="116"/>
      <c r="V143" s="116"/>
    </row>
    <row r="144" spans="1:22" s="7" customFormat="1" ht="69.75" customHeight="1">
      <c r="A144" s="96"/>
      <c r="B144" s="234" t="s">
        <v>179</v>
      </c>
      <c r="C144" s="235">
        <v>60000</v>
      </c>
      <c r="D144" s="68">
        <f t="shared" si="29"/>
        <v>60000</v>
      </c>
      <c r="E144" s="59"/>
      <c r="F144" s="59"/>
      <c r="G144" s="59"/>
      <c r="H144" s="231"/>
      <c r="I144" s="59"/>
      <c r="J144" s="59"/>
      <c r="K144" s="59"/>
      <c r="L144" s="59"/>
      <c r="M144" s="232"/>
      <c r="N144" s="59"/>
      <c r="O144" s="59"/>
      <c r="P144" s="59"/>
      <c r="Q144" s="59"/>
      <c r="R144" s="235">
        <v>60000</v>
      </c>
      <c r="S144" s="59"/>
      <c r="T144" s="59">
        <f t="shared" si="28"/>
        <v>0</v>
      </c>
      <c r="U144" s="116"/>
      <c r="V144" s="116"/>
    </row>
    <row r="145" spans="1:22" s="7" customFormat="1" ht="83.25" customHeight="1">
      <c r="A145" s="96"/>
      <c r="B145" s="234" t="s">
        <v>180</v>
      </c>
      <c r="C145" s="235">
        <v>60000</v>
      </c>
      <c r="D145" s="68">
        <f t="shared" si="29"/>
        <v>60000</v>
      </c>
      <c r="E145" s="59"/>
      <c r="F145" s="59"/>
      <c r="G145" s="59"/>
      <c r="H145" s="231"/>
      <c r="I145" s="59"/>
      <c r="J145" s="59"/>
      <c r="K145" s="59"/>
      <c r="L145" s="59"/>
      <c r="M145" s="232"/>
      <c r="N145" s="59"/>
      <c r="O145" s="59"/>
      <c r="P145" s="59"/>
      <c r="Q145" s="59"/>
      <c r="R145" s="235">
        <v>60000</v>
      </c>
      <c r="S145" s="59"/>
      <c r="T145" s="59">
        <f t="shared" si="28"/>
        <v>0</v>
      </c>
      <c r="U145" s="116"/>
      <c r="V145" s="116"/>
    </row>
    <row r="146" spans="1:22" s="7" customFormat="1" ht="77.25" customHeight="1">
      <c r="A146" s="96"/>
      <c r="B146" s="234" t="s">
        <v>181</v>
      </c>
      <c r="C146" s="235">
        <v>80000</v>
      </c>
      <c r="D146" s="68">
        <f t="shared" si="29"/>
        <v>80000</v>
      </c>
      <c r="E146" s="59"/>
      <c r="F146" s="59"/>
      <c r="G146" s="59"/>
      <c r="H146" s="231"/>
      <c r="I146" s="59"/>
      <c r="J146" s="59"/>
      <c r="K146" s="59"/>
      <c r="L146" s="59"/>
      <c r="M146" s="232"/>
      <c r="N146" s="59"/>
      <c r="O146" s="59"/>
      <c r="P146" s="59"/>
      <c r="Q146" s="59"/>
      <c r="R146" s="235">
        <v>80000</v>
      </c>
      <c r="S146" s="59"/>
      <c r="T146" s="59">
        <f t="shared" si="28"/>
        <v>0</v>
      </c>
      <c r="U146" s="116"/>
      <c r="V146" s="116"/>
    </row>
    <row r="147" spans="1:22" s="134" customFormat="1" ht="98.25" customHeight="1">
      <c r="A147" s="140" t="s">
        <v>118</v>
      </c>
      <c r="B147" s="141" t="s">
        <v>210</v>
      </c>
      <c r="C147" s="128">
        <f>D147</f>
        <v>839200</v>
      </c>
      <c r="D147" s="129">
        <f t="shared" si="29"/>
        <v>839200</v>
      </c>
      <c r="E147" s="130"/>
      <c r="F147" s="130"/>
      <c r="G147" s="130"/>
      <c r="H147" s="131"/>
      <c r="I147" s="130"/>
      <c r="J147" s="130"/>
      <c r="K147" s="130"/>
      <c r="L147" s="130"/>
      <c r="M147" s="132"/>
      <c r="N147" s="130"/>
      <c r="O147" s="130"/>
      <c r="P147" s="130"/>
      <c r="Q147" s="130"/>
      <c r="R147" s="130">
        <f>789300+49900</f>
        <v>839200</v>
      </c>
      <c r="S147" s="130">
        <f>789300+49900</f>
        <v>839200</v>
      </c>
      <c r="T147" s="130">
        <f t="shared" si="28"/>
        <v>0</v>
      </c>
      <c r="U147" s="133"/>
      <c r="V147" s="133"/>
    </row>
    <row r="148" spans="1:22" s="134" customFormat="1" ht="56.25" customHeight="1" thickBot="1">
      <c r="A148" s="140" t="s">
        <v>68</v>
      </c>
      <c r="B148" s="209" t="s">
        <v>67</v>
      </c>
      <c r="C148" s="128">
        <f>SUM(C149:C155)</f>
        <v>80000</v>
      </c>
      <c r="D148" s="128">
        <f aca="true" t="shared" si="30" ref="D148:V148">SUM(D149:D155)</f>
        <v>80000</v>
      </c>
      <c r="E148" s="128">
        <f t="shared" si="30"/>
        <v>0</v>
      </c>
      <c r="F148" s="128">
        <f t="shared" si="30"/>
        <v>0</v>
      </c>
      <c r="G148" s="128">
        <f t="shared" si="30"/>
        <v>0</v>
      </c>
      <c r="H148" s="128">
        <f t="shared" si="30"/>
        <v>0</v>
      </c>
      <c r="I148" s="128">
        <f t="shared" si="30"/>
        <v>0</v>
      </c>
      <c r="J148" s="128">
        <f t="shared" si="30"/>
        <v>0</v>
      </c>
      <c r="K148" s="128">
        <f t="shared" si="30"/>
        <v>0</v>
      </c>
      <c r="L148" s="128">
        <f t="shared" si="30"/>
        <v>0</v>
      </c>
      <c r="M148" s="128">
        <f t="shared" si="30"/>
        <v>0</v>
      </c>
      <c r="N148" s="128">
        <f t="shared" si="30"/>
        <v>0</v>
      </c>
      <c r="O148" s="128">
        <f t="shared" si="30"/>
        <v>80000</v>
      </c>
      <c r="P148" s="128">
        <f t="shared" si="30"/>
        <v>0</v>
      </c>
      <c r="Q148" s="128">
        <f t="shared" si="30"/>
        <v>0</v>
      </c>
      <c r="R148" s="128">
        <f t="shared" si="30"/>
        <v>0</v>
      </c>
      <c r="S148" s="128">
        <f t="shared" si="30"/>
        <v>80000</v>
      </c>
      <c r="T148" s="128">
        <f t="shared" si="30"/>
        <v>0</v>
      </c>
      <c r="U148" s="128">
        <f t="shared" si="30"/>
        <v>0</v>
      </c>
      <c r="V148" s="128">
        <f t="shared" si="30"/>
        <v>0</v>
      </c>
    </row>
    <row r="149" spans="1:22" s="200" customFormat="1" ht="83.25" customHeight="1">
      <c r="A149" s="193"/>
      <c r="B149" s="210" t="s">
        <v>72</v>
      </c>
      <c r="C149" s="194">
        <v>10000</v>
      </c>
      <c r="D149" s="195">
        <f aca="true" t="shared" si="31" ref="D149:D155">E149+F149+G149+M149+N149+R149+J149+O149</f>
        <v>10000</v>
      </c>
      <c r="E149" s="196"/>
      <c r="F149" s="196"/>
      <c r="G149" s="196"/>
      <c r="H149" s="197"/>
      <c r="I149" s="196"/>
      <c r="J149" s="196"/>
      <c r="K149" s="196"/>
      <c r="L149" s="196"/>
      <c r="M149" s="198"/>
      <c r="N149" s="196"/>
      <c r="O149" s="196">
        <f aca="true" t="shared" si="32" ref="O149:O155">C149</f>
        <v>10000</v>
      </c>
      <c r="P149" s="196"/>
      <c r="Q149" s="196"/>
      <c r="R149" s="196"/>
      <c r="S149" s="196">
        <f aca="true" t="shared" si="33" ref="S149:S155">O149</f>
        <v>10000</v>
      </c>
      <c r="T149" s="129">
        <f t="shared" si="28"/>
        <v>0</v>
      </c>
      <c r="U149" s="199"/>
      <c r="V149" s="199"/>
    </row>
    <row r="150" spans="1:22" s="200" customFormat="1" ht="80.25" customHeight="1">
      <c r="A150" s="193"/>
      <c r="B150" s="207" t="s">
        <v>69</v>
      </c>
      <c r="C150" s="194">
        <v>12000</v>
      </c>
      <c r="D150" s="195">
        <f t="shared" si="31"/>
        <v>12000</v>
      </c>
      <c r="E150" s="196"/>
      <c r="F150" s="196"/>
      <c r="G150" s="196"/>
      <c r="H150" s="197"/>
      <c r="I150" s="196"/>
      <c r="J150" s="196"/>
      <c r="K150" s="196"/>
      <c r="L150" s="196"/>
      <c r="M150" s="198"/>
      <c r="N150" s="196"/>
      <c r="O150" s="196">
        <f t="shared" si="32"/>
        <v>12000</v>
      </c>
      <c r="P150" s="196"/>
      <c r="Q150" s="196"/>
      <c r="R150" s="196"/>
      <c r="S150" s="196">
        <f t="shared" si="33"/>
        <v>12000</v>
      </c>
      <c r="T150" s="129">
        <f t="shared" si="28"/>
        <v>0</v>
      </c>
      <c r="U150" s="199"/>
      <c r="V150" s="199"/>
    </row>
    <row r="151" spans="1:22" s="200" customFormat="1" ht="83.25" customHeight="1">
      <c r="A151" s="193"/>
      <c r="B151" s="207" t="s">
        <v>70</v>
      </c>
      <c r="C151" s="194">
        <v>12000</v>
      </c>
      <c r="D151" s="195">
        <f t="shared" si="31"/>
        <v>12000</v>
      </c>
      <c r="E151" s="196"/>
      <c r="F151" s="196"/>
      <c r="G151" s="196"/>
      <c r="H151" s="197"/>
      <c r="I151" s="196"/>
      <c r="J151" s="196"/>
      <c r="K151" s="196"/>
      <c r="L151" s="196"/>
      <c r="M151" s="198"/>
      <c r="N151" s="196"/>
      <c r="O151" s="196">
        <f t="shared" si="32"/>
        <v>12000</v>
      </c>
      <c r="P151" s="196"/>
      <c r="Q151" s="196"/>
      <c r="R151" s="196"/>
      <c r="S151" s="196">
        <f t="shared" si="33"/>
        <v>12000</v>
      </c>
      <c r="T151" s="129">
        <f t="shared" si="28"/>
        <v>0</v>
      </c>
      <c r="U151" s="199"/>
      <c r="V151" s="199"/>
    </row>
    <row r="152" spans="1:22" s="200" customFormat="1" ht="83.25" customHeight="1">
      <c r="A152" s="193"/>
      <c r="B152" s="207" t="s">
        <v>71</v>
      </c>
      <c r="C152" s="194">
        <v>12000</v>
      </c>
      <c r="D152" s="195">
        <f t="shared" si="31"/>
        <v>12000</v>
      </c>
      <c r="E152" s="196"/>
      <c r="F152" s="196"/>
      <c r="G152" s="196"/>
      <c r="H152" s="197"/>
      <c r="I152" s="196"/>
      <c r="J152" s="196"/>
      <c r="K152" s="196"/>
      <c r="L152" s="196"/>
      <c r="M152" s="198"/>
      <c r="N152" s="196"/>
      <c r="O152" s="196">
        <f t="shared" si="32"/>
        <v>12000</v>
      </c>
      <c r="P152" s="196"/>
      <c r="Q152" s="196"/>
      <c r="R152" s="196"/>
      <c r="S152" s="196">
        <f t="shared" si="33"/>
        <v>12000</v>
      </c>
      <c r="T152" s="129">
        <f t="shared" si="28"/>
        <v>0</v>
      </c>
      <c r="U152" s="199"/>
      <c r="V152" s="199"/>
    </row>
    <row r="153" spans="1:22" s="206" customFormat="1" ht="75.75" customHeight="1">
      <c r="A153" s="201"/>
      <c r="B153" s="207" t="s">
        <v>73</v>
      </c>
      <c r="C153" s="202">
        <v>10000</v>
      </c>
      <c r="D153" s="195">
        <f t="shared" si="31"/>
        <v>10000</v>
      </c>
      <c r="E153" s="195"/>
      <c r="F153" s="195"/>
      <c r="G153" s="195"/>
      <c r="H153" s="203"/>
      <c r="I153" s="195"/>
      <c r="J153" s="195"/>
      <c r="K153" s="195"/>
      <c r="L153" s="195"/>
      <c r="M153" s="204"/>
      <c r="N153" s="195"/>
      <c r="O153" s="196">
        <f t="shared" si="32"/>
        <v>10000</v>
      </c>
      <c r="P153" s="196"/>
      <c r="Q153" s="196"/>
      <c r="R153" s="196"/>
      <c r="S153" s="196">
        <f t="shared" si="33"/>
        <v>10000</v>
      </c>
      <c r="T153" s="129">
        <f t="shared" si="28"/>
        <v>0</v>
      </c>
      <c r="U153" s="205"/>
      <c r="V153" s="205"/>
    </row>
    <row r="154" spans="1:22" s="206" customFormat="1" ht="74.25" customHeight="1">
      <c r="A154" s="201"/>
      <c r="B154" s="208" t="s">
        <v>74</v>
      </c>
      <c r="C154" s="202">
        <v>12000</v>
      </c>
      <c r="D154" s="195">
        <f t="shared" si="31"/>
        <v>12000</v>
      </c>
      <c r="E154" s="195"/>
      <c r="F154" s="195"/>
      <c r="G154" s="195"/>
      <c r="H154" s="203"/>
      <c r="I154" s="195"/>
      <c r="J154" s="195"/>
      <c r="K154" s="195"/>
      <c r="L154" s="195"/>
      <c r="M154" s="204"/>
      <c r="N154" s="195"/>
      <c r="O154" s="196">
        <f t="shared" si="32"/>
        <v>12000</v>
      </c>
      <c r="P154" s="196"/>
      <c r="Q154" s="196"/>
      <c r="R154" s="196"/>
      <c r="S154" s="196">
        <f t="shared" si="33"/>
        <v>12000</v>
      </c>
      <c r="T154" s="129">
        <f t="shared" si="28"/>
        <v>0</v>
      </c>
      <c r="U154" s="205"/>
      <c r="V154" s="205"/>
    </row>
    <row r="155" spans="1:22" s="206" customFormat="1" ht="51.75" customHeight="1">
      <c r="A155" s="201"/>
      <c r="B155" s="208" t="s">
        <v>75</v>
      </c>
      <c r="C155" s="202">
        <v>12000</v>
      </c>
      <c r="D155" s="195">
        <f t="shared" si="31"/>
        <v>12000</v>
      </c>
      <c r="E155" s="195"/>
      <c r="F155" s="195"/>
      <c r="G155" s="195"/>
      <c r="H155" s="203"/>
      <c r="I155" s="195"/>
      <c r="J155" s="195"/>
      <c r="K155" s="195"/>
      <c r="L155" s="195"/>
      <c r="M155" s="204"/>
      <c r="N155" s="195"/>
      <c r="O155" s="196">
        <f t="shared" si="32"/>
        <v>12000</v>
      </c>
      <c r="P155" s="196"/>
      <c r="Q155" s="196"/>
      <c r="R155" s="196"/>
      <c r="S155" s="196">
        <f t="shared" si="33"/>
        <v>12000</v>
      </c>
      <c r="T155" s="129">
        <f t="shared" si="28"/>
        <v>0</v>
      </c>
      <c r="U155" s="205"/>
      <c r="V155" s="205"/>
    </row>
    <row r="156" spans="1:22" s="134" customFormat="1" ht="318.75" customHeight="1">
      <c r="A156" s="127">
        <v>9770</v>
      </c>
      <c r="B156" s="180" t="s">
        <v>153</v>
      </c>
      <c r="C156" s="128">
        <f>43807.98+27532.18+27487.77+16357.88+5821.68+6419.71+12429.8+2716.45+6310.26+8049.75+25635.57+20844.12+3246.72+16658.3+11509.04+46673.24+24447.69+29253</f>
        <v>335201.1400000001</v>
      </c>
      <c r="D156" s="129">
        <f>E156+F156+G156+M156+N156+R156+J156</f>
        <v>335201.1400000001</v>
      </c>
      <c r="E156" s="130"/>
      <c r="F156" s="130"/>
      <c r="G156" s="130"/>
      <c r="H156" s="131"/>
      <c r="I156" s="259"/>
      <c r="J156" s="259"/>
      <c r="K156" s="130"/>
      <c r="L156" s="130"/>
      <c r="M156" s="132">
        <f>C156</f>
        <v>335201.1400000001</v>
      </c>
      <c r="N156" s="130"/>
      <c r="O156" s="130"/>
      <c r="P156" s="131"/>
      <c r="Q156" s="131"/>
      <c r="R156" s="130"/>
      <c r="S156" s="130">
        <f>M156</f>
        <v>335201.1400000001</v>
      </c>
      <c r="T156" s="130">
        <f>C156-D156</f>
        <v>0</v>
      </c>
      <c r="U156" s="133"/>
      <c r="V156" s="133"/>
    </row>
    <row r="157" spans="1:22" s="50" customFormat="1" ht="28.5" customHeight="1">
      <c r="A157" s="51"/>
      <c r="B157" s="54" t="s">
        <v>5</v>
      </c>
      <c r="C157" s="32">
        <f aca="true" t="shared" si="34" ref="C157:T157">C13+C26+C65+C109+C96+C125+C131+C156+C130+C136+C148+C132+C147+C133+C134+C137+C138+C135</f>
        <v>41323079.02</v>
      </c>
      <c r="D157" s="32">
        <f t="shared" si="34"/>
        <v>32920459.26</v>
      </c>
      <c r="E157" s="32">
        <f t="shared" si="34"/>
        <v>4587100</v>
      </c>
      <c r="F157" s="32">
        <f t="shared" si="34"/>
        <v>0</v>
      </c>
      <c r="G157" s="32">
        <f t="shared" si="34"/>
        <v>0</v>
      </c>
      <c r="H157" s="32">
        <f t="shared" si="34"/>
        <v>2645200</v>
      </c>
      <c r="I157" s="86">
        <f t="shared" si="34"/>
        <v>2466200</v>
      </c>
      <c r="J157" s="260">
        <f t="shared" si="34"/>
        <v>179000</v>
      </c>
      <c r="K157" s="32">
        <f t="shared" si="34"/>
        <v>0</v>
      </c>
      <c r="L157" s="32">
        <f t="shared" si="34"/>
        <v>-177510</v>
      </c>
      <c r="M157" s="86">
        <f t="shared" si="34"/>
        <v>2333963.0300000003</v>
      </c>
      <c r="N157" s="32">
        <f t="shared" si="34"/>
        <v>-349.7699999999895</v>
      </c>
      <c r="O157" s="32">
        <f t="shared" si="34"/>
        <v>528880</v>
      </c>
      <c r="P157" s="86">
        <f t="shared" si="34"/>
        <v>43230500</v>
      </c>
      <c r="Q157" s="86">
        <f t="shared" si="34"/>
        <v>5909000</v>
      </c>
      <c r="R157" s="86">
        <f t="shared" si="34"/>
        <v>-26277524</v>
      </c>
      <c r="S157" s="32">
        <f t="shared" si="34"/>
        <v>13448526.91</v>
      </c>
      <c r="T157" s="32">
        <f t="shared" si="34"/>
        <v>8502416.79</v>
      </c>
      <c r="U157" s="32" t="e">
        <f>U13+U26+U65+U109+U96+U125+U131+#REF!+U156+U130+U136+U148</f>
        <v>#REF!</v>
      </c>
      <c r="V157" s="32" t="e">
        <f>V13+V26+V65+V109+V96+V125+V131+#REF!+V156+V130+V136+V148</f>
        <v>#REF!</v>
      </c>
    </row>
    <row r="158" spans="1:22" s="8" customFormat="1" ht="27.75" customHeight="1">
      <c r="A158" s="273" t="s">
        <v>7</v>
      </c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5"/>
    </row>
    <row r="159" spans="1:22" s="42" customFormat="1" ht="24.75" customHeight="1">
      <c r="A159" s="97" t="s">
        <v>28</v>
      </c>
      <c r="B159" s="25" t="s">
        <v>0</v>
      </c>
      <c r="C159" s="32">
        <f>SUM(C160:C161)</f>
        <v>320000</v>
      </c>
      <c r="D159" s="32">
        <f aca="true" t="shared" si="35" ref="D159:T159">SUM(D160:D161)</f>
        <v>70000</v>
      </c>
      <c r="E159" s="32">
        <f t="shared" si="35"/>
        <v>70000</v>
      </c>
      <c r="F159" s="32">
        <f t="shared" si="35"/>
        <v>0</v>
      </c>
      <c r="G159" s="32">
        <f t="shared" si="35"/>
        <v>0</v>
      </c>
      <c r="H159" s="32">
        <f t="shared" si="35"/>
        <v>0</v>
      </c>
      <c r="I159" s="32">
        <f t="shared" si="35"/>
        <v>0</v>
      </c>
      <c r="J159" s="32">
        <f t="shared" si="35"/>
        <v>0</v>
      </c>
      <c r="K159" s="32">
        <f t="shared" si="35"/>
        <v>0</v>
      </c>
      <c r="L159" s="32">
        <f t="shared" si="35"/>
        <v>0</v>
      </c>
      <c r="M159" s="32">
        <f t="shared" si="35"/>
        <v>0</v>
      </c>
      <c r="N159" s="32">
        <f t="shared" si="35"/>
        <v>0</v>
      </c>
      <c r="O159" s="32">
        <f t="shared" si="35"/>
        <v>0</v>
      </c>
      <c r="P159" s="32">
        <f t="shared" si="35"/>
        <v>0</v>
      </c>
      <c r="Q159" s="32">
        <f t="shared" si="35"/>
        <v>0</v>
      </c>
      <c r="R159" s="32">
        <f t="shared" si="35"/>
        <v>0</v>
      </c>
      <c r="S159" s="32">
        <f t="shared" si="35"/>
        <v>0</v>
      </c>
      <c r="T159" s="32">
        <f t="shared" si="35"/>
        <v>250000</v>
      </c>
      <c r="U159" s="32">
        <f>U161</f>
        <v>0</v>
      </c>
      <c r="V159" s="32">
        <f>V161</f>
        <v>0</v>
      </c>
    </row>
    <row r="160" spans="1:22" s="41" customFormat="1" ht="24.75" customHeight="1">
      <c r="A160" s="96" t="s">
        <v>27</v>
      </c>
      <c r="B160" s="213" t="s">
        <v>94</v>
      </c>
      <c r="C160" s="33">
        <v>70000</v>
      </c>
      <c r="D160" s="68">
        <f>E160+F160+G160+M160+N160+R160+J160</f>
        <v>70000</v>
      </c>
      <c r="E160" s="33">
        <v>70000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68">
        <f>C160-D160</f>
        <v>0</v>
      </c>
      <c r="U160" s="33"/>
      <c r="V160" s="33"/>
    </row>
    <row r="161" spans="1:22" s="1" customFormat="1" ht="45.75" customHeight="1">
      <c r="A161" s="93" t="s">
        <v>27</v>
      </c>
      <c r="B161" s="70" t="s">
        <v>95</v>
      </c>
      <c r="C161" s="33">
        <v>250000</v>
      </c>
      <c r="D161" s="68">
        <f>E161+F161+G161+M161+N161+R161+J161</f>
        <v>0</v>
      </c>
      <c r="E161" s="33"/>
      <c r="F161" s="33"/>
      <c r="G161" s="33"/>
      <c r="H161" s="33">
        <f>SUM(I161:J161)</f>
        <v>0</v>
      </c>
      <c r="I161" s="33"/>
      <c r="J161" s="33"/>
      <c r="K161" s="33"/>
      <c r="L161" s="33"/>
      <c r="M161" s="79"/>
      <c r="N161" s="33"/>
      <c r="O161" s="33"/>
      <c r="P161" s="33"/>
      <c r="Q161" s="33"/>
      <c r="R161" s="33"/>
      <c r="S161" s="33"/>
      <c r="T161" s="68">
        <f>C161-D161</f>
        <v>250000</v>
      </c>
      <c r="U161" s="118"/>
      <c r="V161" s="118"/>
    </row>
    <row r="162" spans="1:22" s="1" customFormat="1" ht="26.25" customHeight="1">
      <c r="A162" s="24">
        <v>1000</v>
      </c>
      <c r="B162" s="26" t="s">
        <v>1</v>
      </c>
      <c r="C162" s="32">
        <f aca="true" t="shared" si="36" ref="C162:T162">SUM(C163:C188)</f>
        <v>7656041.11</v>
      </c>
      <c r="D162" s="32">
        <f t="shared" si="36"/>
        <v>6268541.11</v>
      </c>
      <c r="E162" s="32">
        <f t="shared" si="36"/>
        <v>168900</v>
      </c>
      <c r="F162" s="32">
        <f t="shared" si="36"/>
        <v>0</v>
      </c>
      <c r="G162" s="32">
        <f t="shared" si="36"/>
        <v>0</v>
      </c>
      <c r="H162" s="32">
        <f t="shared" si="36"/>
        <v>0</v>
      </c>
      <c r="I162" s="32">
        <f t="shared" si="36"/>
        <v>0</v>
      </c>
      <c r="J162" s="32">
        <f t="shared" si="36"/>
        <v>0</v>
      </c>
      <c r="K162" s="32">
        <f t="shared" si="36"/>
        <v>1212776.1099999999</v>
      </c>
      <c r="L162" s="32">
        <f t="shared" si="36"/>
        <v>141200</v>
      </c>
      <c r="M162" s="32">
        <f t="shared" si="36"/>
        <v>426900</v>
      </c>
      <c r="N162" s="32">
        <f t="shared" si="36"/>
        <v>0</v>
      </c>
      <c r="O162" s="32">
        <f t="shared" si="36"/>
        <v>0</v>
      </c>
      <c r="P162" s="32">
        <f t="shared" si="36"/>
        <v>0</v>
      </c>
      <c r="Q162" s="32">
        <f t="shared" si="36"/>
        <v>0</v>
      </c>
      <c r="R162" s="32">
        <f t="shared" si="36"/>
        <v>4459965</v>
      </c>
      <c r="S162" s="32">
        <f t="shared" si="36"/>
        <v>4301868</v>
      </c>
      <c r="T162" s="32">
        <f t="shared" si="36"/>
        <v>0</v>
      </c>
      <c r="U162" s="32">
        <f>SUM(U163:U181)</f>
        <v>0</v>
      </c>
      <c r="V162" s="32">
        <f>SUM(V163:V181)</f>
        <v>0</v>
      </c>
    </row>
    <row r="163" spans="1:22" s="139" customFormat="1" ht="113.25" customHeight="1">
      <c r="A163" s="127">
        <v>1020</v>
      </c>
      <c r="B163" s="135" t="s">
        <v>146</v>
      </c>
      <c r="C163" s="136">
        <v>750000</v>
      </c>
      <c r="D163" s="129">
        <f aca="true" t="shared" si="37" ref="D163:D188">E163+F163+G163+M163+N163+R163+J163+L163+K163</f>
        <v>750000</v>
      </c>
      <c r="E163" s="136"/>
      <c r="F163" s="136"/>
      <c r="G163" s="136"/>
      <c r="H163" s="136">
        <f>SUM(I163:J163)</f>
        <v>0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7">
        <v>750000</v>
      </c>
      <c r="S163" s="181">
        <v>750000</v>
      </c>
      <c r="T163" s="129">
        <f aca="true" t="shared" si="38" ref="T163:T191">C163-D163</f>
        <v>0</v>
      </c>
      <c r="U163" s="138"/>
      <c r="V163" s="138"/>
    </row>
    <row r="164" spans="1:22" s="139" customFormat="1" ht="102.75" customHeight="1">
      <c r="A164" s="127">
        <v>1020</v>
      </c>
      <c r="B164" s="135" t="s">
        <v>60</v>
      </c>
      <c r="C164" s="136">
        <v>652388</v>
      </c>
      <c r="D164" s="129">
        <f t="shared" si="37"/>
        <v>652388</v>
      </c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7">
        <f>C164</f>
        <v>652388</v>
      </c>
      <c r="S164" s="181">
        <f>R164</f>
        <v>652388</v>
      </c>
      <c r="T164" s="129">
        <f t="shared" si="38"/>
        <v>0</v>
      </c>
      <c r="U164" s="138"/>
      <c r="V164" s="138"/>
    </row>
    <row r="165" spans="1:22" s="139" customFormat="1" ht="48.75" customHeight="1">
      <c r="A165" s="127">
        <v>1020</v>
      </c>
      <c r="B165" s="135" t="s">
        <v>101</v>
      </c>
      <c r="C165" s="136">
        <v>141200</v>
      </c>
      <c r="D165" s="129">
        <f>E165+F165+G165+M165+N165+J165+L165+K165</f>
        <v>141200</v>
      </c>
      <c r="E165" s="137"/>
      <c r="F165" s="136"/>
      <c r="G165" s="136"/>
      <c r="H165" s="136">
        <f>SUM(I165:J165)</f>
        <v>0</v>
      </c>
      <c r="I165" s="136"/>
      <c r="J165" s="136"/>
      <c r="K165" s="136"/>
      <c r="L165" s="136">
        <v>141200</v>
      </c>
      <c r="M165" s="136"/>
      <c r="N165" s="136"/>
      <c r="O165" s="136"/>
      <c r="P165" s="136"/>
      <c r="Q165" s="136"/>
      <c r="R165" s="137">
        <v>141200</v>
      </c>
      <c r="S165" s="181">
        <v>141200</v>
      </c>
      <c r="T165" s="129">
        <f t="shared" si="38"/>
        <v>0</v>
      </c>
      <c r="U165" s="138"/>
      <c r="V165" s="138"/>
    </row>
    <row r="166" spans="1:22" s="139" customFormat="1" ht="48.75" customHeight="1">
      <c r="A166" s="127">
        <v>1020</v>
      </c>
      <c r="B166" s="135" t="s">
        <v>128</v>
      </c>
      <c r="C166" s="136">
        <v>1773044</v>
      </c>
      <c r="D166" s="129">
        <f t="shared" si="37"/>
        <v>1773044</v>
      </c>
      <c r="E166" s="137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7">
        <v>1773044</v>
      </c>
      <c r="S166" s="181">
        <f>R166</f>
        <v>1773044</v>
      </c>
      <c r="T166" s="129">
        <f t="shared" si="38"/>
        <v>0</v>
      </c>
      <c r="U166" s="138"/>
      <c r="V166" s="138"/>
    </row>
    <row r="167" spans="1:22" s="139" customFormat="1" ht="113.25" customHeight="1">
      <c r="A167" s="127">
        <v>1020</v>
      </c>
      <c r="B167" s="225" t="s">
        <v>140</v>
      </c>
      <c r="C167" s="129">
        <v>20000</v>
      </c>
      <c r="D167" s="129">
        <f aca="true" t="shared" si="39" ref="D167:D172">E167+F167+G167+M167+N167+R167+J167+O167+P167+Q167+I167+K167+L167</f>
        <v>20000</v>
      </c>
      <c r="E167" s="170"/>
      <c r="F167" s="129"/>
      <c r="G167" s="129"/>
      <c r="H167" s="129"/>
      <c r="I167" s="129"/>
      <c r="J167" s="129"/>
      <c r="K167" s="129"/>
      <c r="L167" s="129"/>
      <c r="M167" s="171">
        <v>20000</v>
      </c>
      <c r="N167" s="129"/>
      <c r="O167" s="129"/>
      <c r="P167" s="129"/>
      <c r="Q167" s="129"/>
      <c r="R167" s="170"/>
      <c r="S167" s="129">
        <f>M167</f>
        <v>20000</v>
      </c>
      <c r="T167" s="172">
        <f t="shared" si="38"/>
        <v>0</v>
      </c>
      <c r="U167" s="138"/>
      <c r="V167" s="138"/>
    </row>
    <row r="168" spans="1:22" s="139" customFormat="1" ht="141.75" customHeight="1">
      <c r="A168" s="127">
        <v>1020</v>
      </c>
      <c r="B168" s="225" t="s">
        <v>142</v>
      </c>
      <c r="C168" s="129">
        <f>50000+161900</f>
        <v>211900</v>
      </c>
      <c r="D168" s="129">
        <f t="shared" si="39"/>
        <v>211900</v>
      </c>
      <c r="E168" s="170"/>
      <c r="F168" s="129"/>
      <c r="G168" s="129"/>
      <c r="H168" s="129"/>
      <c r="I168" s="129"/>
      <c r="J168" s="129"/>
      <c r="K168" s="129"/>
      <c r="L168" s="129"/>
      <c r="M168" s="171">
        <f>C168</f>
        <v>211900</v>
      </c>
      <c r="N168" s="129"/>
      <c r="O168" s="129"/>
      <c r="P168" s="129"/>
      <c r="Q168" s="129"/>
      <c r="R168" s="170"/>
      <c r="S168" s="129">
        <f>M168</f>
        <v>211900</v>
      </c>
      <c r="T168" s="172">
        <f t="shared" si="38"/>
        <v>0</v>
      </c>
      <c r="U168" s="138"/>
      <c r="V168" s="138"/>
    </row>
    <row r="169" spans="1:22" s="139" customFormat="1" ht="78.75" customHeight="1">
      <c r="A169" s="127">
        <v>1020</v>
      </c>
      <c r="B169" s="225" t="s">
        <v>143</v>
      </c>
      <c r="C169" s="129">
        <v>100000</v>
      </c>
      <c r="D169" s="129">
        <f t="shared" si="39"/>
        <v>100000</v>
      </c>
      <c r="E169" s="170"/>
      <c r="F169" s="129"/>
      <c r="G169" s="129"/>
      <c r="H169" s="129"/>
      <c r="I169" s="129"/>
      <c r="J169" s="129"/>
      <c r="K169" s="129"/>
      <c r="L169" s="129"/>
      <c r="M169" s="171">
        <v>100000</v>
      </c>
      <c r="N169" s="129"/>
      <c r="O169" s="129"/>
      <c r="P169" s="129"/>
      <c r="Q169" s="129"/>
      <c r="R169" s="170"/>
      <c r="S169" s="129">
        <v>100000</v>
      </c>
      <c r="T169" s="172">
        <f>C169-D169</f>
        <v>0</v>
      </c>
      <c r="U169" s="138"/>
      <c r="V169" s="138"/>
    </row>
    <row r="170" spans="1:22" s="139" customFormat="1" ht="87.75" customHeight="1">
      <c r="A170" s="127">
        <v>1020</v>
      </c>
      <c r="B170" s="225" t="s">
        <v>144</v>
      </c>
      <c r="C170" s="129">
        <v>40000</v>
      </c>
      <c r="D170" s="129">
        <f t="shared" si="39"/>
        <v>40000</v>
      </c>
      <c r="E170" s="170"/>
      <c r="F170" s="129"/>
      <c r="G170" s="129"/>
      <c r="H170" s="129"/>
      <c r="I170" s="129"/>
      <c r="J170" s="129"/>
      <c r="K170" s="129"/>
      <c r="L170" s="129"/>
      <c r="M170" s="171">
        <v>40000</v>
      </c>
      <c r="N170" s="129"/>
      <c r="O170" s="129"/>
      <c r="P170" s="129"/>
      <c r="Q170" s="129"/>
      <c r="R170" s="170"/>
      <c r="S170" s="129">
        <v>100001</v>
      </c>
      <c r="T170" s="172">
        <f>C170-D170</f>
        <v>0</v>
      </c>
      <c r="U170" s="138"/>
      <c r="V170" s="138"/>
    </row>
    <row r="171" spans="1:22" s="139" customFormat="1" ht="89.25" customHeight="1">
      <c r="A171" s="127">
        <v>1020</v>
      </c>
      <c r="B171" s="225" t="s">
        <v>145</v>
      </c>
      <c r="C171" s="129">
        <v>35000</v>
      </c>
      <c r="D171" s="129">
        <f t="shared" si="39"/>
        <v>35000</v>
      </c>
      <c r="E171" s="170"/>
      <c r="F171" s="129"/>
      <c r="G171" s="129"/>
      <c r="H171" s="129"/>
      <c r="I171" s="129"/>
      <c r="J171" s="129"/>
      <c r="K171" s="129"/>
      <c r="L171" s="129"/>
      <c r="M171" s="171">
        <v>35000</v>
      </c>
      <c r="N171" s="129"/>
      <c r="O171" s="129"/>
      <c r="P171" s="129"/>
      <c r="Q171" s="129"/>
      <c r="R171" s="170"/>
      <c r="S171" s="129">
        <v>100002</v>
      </c>
      <c r="T171" s="172">
        <f>C171-D171</f>
        <v>0</v>
      </c>
      <c r="U171" s="138"/>
      <c r="V171" s="138"/>
    </row>
    <row r="172" spans="1:22" s="1" customFormat="1" ht="89.25" customHeight="1">
      <c r="A172" s="69">
        <v>1020</v>
      </c>
      <c r="B172" s="236" t="s">
        <v>155</v>
      </c>
      <c r="C172" s="68">
        <v>20000</v>
      </c>
      <c r="D172" s="68">
        <f t="shared" si="39"/>
        <v>20000</v>
      </c>
      <c r="E172" s="100"/>
      <c r="F172" s="68"/>
      <c r="G172" s="68"/>
      <c r="H172" s="68"/>
      <c r="I172" s="68"/>
      <c r="J172" s="68"/>
      <c r="K172" s="68"/>
      <c r="L172" s="68"/>
      <c r="M172" s="99">
        <v>20000</v>
      </c>
      <c r="N172" s="68"/>
      <c r="O172" s="68"/>
      <c r="P172" s="68"/>
      <c r="Q172" s="68"/>
      <c r="R172" s="100"/>
      <c r="S172" s="68">
        <v>20000</v>
      </c>
      <c r="T172" s="87">
        <f>C172-D172</f>
        <v>0</v>
      </c>
      <c r="U172" s="118"/>
      <c r="V172" s="118"/>
    </row>
    <row r="173" spans="1:22" s="1" customFormat="1" ht="188.25" customHeight="1">
      <c r="A173" s="69">
        <v>1020</v>
      </c>
      <c r="B173" s="98" t="s">
        <v>169</v>
      </c>
      <c r="C173" s="33">
        <v>1387500</v>
      </c>
      <c r="D173" s="68">
        <f t="shared" si="37"/>
        <v>0</v>
      </c>
      <c r="E173" s="216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216"/>
      <c r="S173" s="217"/>
      <c r="T173" s="68">
        <v>0</v>
      </c>
      <c r="U173" s="118"/>
      <c r="V173" s="118"/>
    </row>
    <row r="174" spans="1:22" s="1" customFormat="1" ht="69.75" customHeight="1">
      <c r="A174" s="69">
        <v>1020</v>
      </c>
      <c r="B174" s="98" t="s">
        <v>209</v>
      </c>
      <c r="C174" s="33">
        <v>13900</v>
      </c>
      <c r="D174" s="68">
        <f t="shared" si="37"/>
        <v>13900</v>
      </c>
      <c r="E174" s="216">
        <v>13900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216"/>
      <c r="S174" s="217"/>
      <c r="T174" s="68">
        <f>C174-D174</f>
        <v>0</v>
      </c>
      <c r="U174" s="118"/>
      <c r="V174" s="118"/>
    </row>
    <row r="175" spans="1:22" s="1" customFormat="1" ht="33.75" customHeight="1">
      <c r="A175" s="69">
        <v>1020</v>
      </c>
      <c r="B175" s="98" t="s">
        <v>104</v>
      </c>
      <c r="C175" s="33">
        <v>105000</v>
      </c>
      <c r="D175" s="68">
        <f t="shared" si="37"/>
        <v>105000</v>
      </c>
      <c r="E175" s="216">
        <v>105000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216"/>
      <c r="S175" s="217"/>
      <c r="T175" s="68">
        <f t="shared" si="38"/>
        <v>0</v>
      </c>
      <c r="U175" s="118"/>
      <c r="V175" s="118"/>
    </row>
    <row r="176" spans="1:22" s="1" customFormat="1" ht="41.25" customHeight="1">
      <c r="A176" s="69">
        <v>1020</v>
      </c>
      <c r="B176" s="98" t="s">
        <v>196</v>
      </c>
      <c r="C176" s="33">
        <v>500000</v>
      </c>
      <c r="D176" s="68">
        <f t="shared" si="37"/>
        <v>500000</v>
      </c>
      <c r="E176" s="216"/>
      <c r="F176" s="33"/>
      <c r="G176" s="33"/>
      <c r="H176" s="33"/>
      <c r="I176" s="33"/>
      <c r="J176" s="33"/>
      <c r="K176" s="33">
        <v>500000</v>
      </c>
      <c r="L176" s="33"/>
      <c r="M176" s="33"/>
      <c r="N176" s="33"/>
      <c r="O176" s="33"/>
      <c r="P176" s="33"/>
      <c r="Q176" s="33"/>
      <c r="R176" s="216"/>
      <c r="S176" s="217"/>
      <c r="T176" s="68">
        <f t="shared" si="38"/>
        <v>0</v>
      </c>
      <c r="U176" s="118"/>
      <c r="V176" s="118"/>
    </row>
    <row r="177" spans="1:22" s="1" customFormat="1" ht="45.75" customHeight="1">
      <c r="A177" s="69">
        <v>1020</v>
      </c>
      <c r="B177" s="98" t="s">
        <v>197</v>
      </c>
      <c r="C177" s="33">
        <v>100000</v>
      </c>
      <c r="D177" s="68">
        <f t="shared" si="37"/>
        <v>100000</v>
      </c>
      <c r="E177" s="216"/>
      <c r="F177" s="33"/>
      <c r="G177" s="33"/>
      <c r="H177" s="33"/>
      <c r="I177" s="33"/>
      <c r="J177" s="33"/>
      <c r="K177" s="33">
        <v>100000</v>
      </c>
      <c r="L177" s="33"/>
      <c r="M177" s="33"/>
      <c r="N177" s="33"/>
      <c r="O177" s="33"/>
      <c r="P177" s="33"/>
      <c r="Q177" s="33"/>
      <c r="R177" s="216"/>
      <c r="S177" s="217"/>
      <c r="T177" s="68">
        <f t="shared" si="38"/>
        <v>0</v>
      </c>
      <c r="U177" s="118"/>
      <c r="V177" s="118"/>
    </row>
    <row r="178" spans="1:22" s="1" customFormat="1" ht="48.75" customHeight="1">
      <c r="A178" s="69">
        <v>1020</v>
      </c>
      <c r="B178" s="98" t="s">
        <v>198</v>
      </c>
      <c r="C178" s="33">
        <v>100000</v>
      </c>
      <c r="D178" s="68">
        <f t="shared" si="37"/>
        <v>100000</v>
      </c>
      <c r="E178" s="216"/>
      <c r="F178" s="33"/>
      <c r="G178" s="33"/>
      <c r="H178" s="33"/>
      <c r="I178" s="33"/>
      <c r="J178" s="33"/>
      <c r="K178" s="33">
        <v>100000</v>
      </c>
      <c r="L178" s="33"/>
      <c r="M178" s="33"/>
      <c r="N178" s="33"/>
      <c r="O178" s="33"/>
      <c r="P178" s="33"/>
      <c r="Q178" s="33"/>
      <c r="R178" s="216"/>
      <c r="S178" s="217"/>
      <c r="T178" s="68">
        <f t="shared" si="38"/>
        <v>0</v>
      </c>
      <c r="U178" s="118"/>
      <c r="V178" s="118"/>
    </row>
    <row r="179" spans="1:22" s="1" customFormat="1" ht="45.75" customHeight="1">
      <c r="A179" s="69">
        <v>1020</v>
      </c>
      <c r="B179" s="98" t="s">
        <v>199</v>
      </c>
      <c r="C179" s="33">
        <v>200000</v>
      </c>
      <c r="D179" s="68">
        <f t="shared" si="37"/>
        <v>200000</v>
      </c>
      <c r="E179" s="216"/>
      <c r="F179" s="33"/>
      <c r="G179" s="33"/>
      <c r="H179" s="33"/>
      <c r="I179" s="33"/>
      <c r="J179" s="33"/>
      <c r="K179" s="33">
        <v>200000</v>
      </c>
      <c r="L179" s="33"/>
      <c r="M179" s="33"/>
      <c r="N179" s="33"/>
      <c r="O179" s="33"/>
      <c r="P179" s="33"/>
      <c r="Q179" s="33"/>
      <c r="R179" s="216"/>
      <c r="S179" s="217"/>
      <c r="T179" s="68">
        <f t="shared" si="38"/>
        <v>0</v>
      </c>
      <c r="U179" s="118"/>
      <c r="V179" s="118"/>
    </row>
    <row r="180" spans="1:22" s="1" customFormat="1" ht="33.75" customHeight="1">
      <c r="A180" s="69">
        <v>1020</v>
      </c>
      <c r="B180" s="98" t="s">
        <v>200</v>
      </c>
      <c r="C180" s="33">
        <v>312776.11</v>
      </c>
      <c r="D180" s="68">
        <f t="shared" si="37"/>
        <v>312776.11</v>
      </c>
      <c r="E180" s="216"/>
      <c r="F180" s="33"/>
      <c r="G180" s="33"/>
      <c r="H180" s="33"/>
      <c r="I180" s="33"/>
      <c r="J180" s="33"/>
      <c r="K180" s="33">
        <v>312776.11</v>
      </c>
      <c r="L180" s="33"/>
      <c r="M180" s="33"/>
      <c r="N180" s="33"/>
      <c r="O180" s="33"/>
      <c r="P180" s="33"/>
      <c r="Q180" s="33"/>
      <c r="R180" s="216"/>
      <c r="S180" s="217"/>
      <c r="T180" s="68">
        <f t="shared" si="38"/>
        <v>0</v>
      </c>
      <c r="U180" s="118"/>
      <c r="V180" s="118"/>
    </row>
    <row r="181" spans="1:22" s="139" customFormat="1" ht="86.25" customHeight="1">
      <c r="A181" s="127">
        <v>1070</v>
      </c>
      <c r="B181" s="135" t="s">
        <v>61</v>
      </c>
      <c r="C181" s="136">
        <f>216666+216667</f>
        <v>433333</v>
      </c>
      <c r="D181" s="129">
        <f t="shared" si="37"/>
        <v>433333</v>
      </c>
      <c r="E181" s="137"/>
      <c r="F181" s="136"/>
      <c r="G181" s="136"/>
      <c r="H181" s="137">
        <f>SUM(I181:J181)</f>
        <v>0</v>
      </c>
      <c r="I181" s="137"/>
      <c r="J181" s="137"/>
      <c r="K181" s="137"/>
      <c r="L181" s="137"/>
      <c r="M181" s="136"/>
      <c r="N181" s="136"/>
      <c r="O181" s="136"/>
      <c r="P181" s="136"/>
      <c r="Q181" s="136"/>
      <c r="R181" s="137">
        <f>C181</f>
        <v>433333</v>
      </c>
      <c r="S181" s="181">
        <f>R181</f>
        <v>433333</v>
      </c>
      <c r="T181" s="129">
        <f t="shared" si="38"/>
        <v>0</v>
      </c>
      <c r="U181" s="138"/>
      <c r="V181" s="138"/>
    </row>
    <row r="182" spans="1:22" s="1" customFormat="1" ht="126.75" customHeight="1">
      <c r="A182" s="69">
        <v>7363</v>
      </c>
      <c r="B182" s="237" t="s">
        <v>182</v>
      </c>
      <c r="C182" s="240">
        <v>100000</v>
      </c>
      <c r="D182" s="68">
        <f t="shared" si="37"/>
        <v>100000</v>
      </c>
      <c r="E182" s="216"/>
      <c r="F182" s="33"/>
      <c r="G182" s="33"/>
      <c r="H182" s="216"/>
      <c r="I182" s="216"/>
      <c r="J182" s="216"/>
      <c r="K182" s="216"/>
      <c r="L182" s="216"/>
      <c r="M182" s="33"/>
      <c r="N182" s="33"/>
      <c r="O182" s="33"/>
      <c r="P182" s="33"/>
      <c r="Q182" s="33"/>
      <c r="R182" s="240">
        <v>100000</v>
      </c>
      <c r="S182" s="217"/>
      <c r="T182" s="68">
        <f t="shared" si="38"/>
        <v>0</v>
      </c>
      <c r="U182" s="118"/>
      <c r="V182" s="118"/>
    </row>
    <row r="183" spans="1:22" s="1" customFormat="1" ht="114.75" customHeight="1">
      <c r="A183" s="69">
        <v>7363</v>
      </c>
      <c r="B183" s="237" t="s">
        <v>183</v>
      </c>
      <c r="C183" s="240">
        <v>40000</v>
      </c>
      <c r="D183" s="68">
        <f t="shared" si="37"/>
        <v>40000</v>
      </c>
      <c r="E183" s="216"/>
      <c r="F183" s="33"/>
      <c r="G183" s="33"/>
      <c r="H183" s="216"/>
      <c r="I183" s="216"/>
      <c r="J183" s="216"/>
      <c r="K183" s="216"/>
      <c r="L183" s="216"/>
      <c r="M183" s="33"/>
      <c r="N183" s="33"/>
      <c r="O183" s="33"/>
      <c r="P183" s="33"/>
      <c r="Q183" s="33"/>
      <c r="R183" s="240">
        <v>40000</v>
      </c>
      <c r="S183" s="217"/>
      <c r="T183" s="68">
        <f t="shared" si="38"/>
        <v>0</v>
      </c>
      <c r="U183" s="118"/>
      <c r="V183" s="118"/>
    </row>
    <row r="184" spans="1:22" s="1" customFormat="1" ht="86.25" customHeight="1">
      <c r="A184" s="69">
        <v>7363</v>
      </c>
      <c r="B184" s="237" t="s">
        <v>184</v>
      </c>
      <c r="C184" s="240">
        <v>120000</v>
      </c>
      <c r="D184" s="68">
        <f t="shared" si="37"/>
        <v>120000</v>
      </c>
      <c r="E184" s="216"/>
      <c r="F184" s="33"/>
      <c r="G184" s="33"/>
      <c r="H184" s="216"/>
      <c r="I184" s="216"/>
      <c r="J184" s="216"/>
      <c r="K184" s="216"/>
      <c r="L184" s="216"/>
      <c r="M184" s="33"/>
      <c r="N184" s="33"/>
      <c r="O184" s="33"/>
      <c r="P184" s="33"/>
      <c r="Q184" s="33"/>
      <c r="R184" s="240">
        <v>120000</v>
      </c>
      <c r="S184" s="217"/>
      <c r="T184" s="68">
        <f t="shared" si="38"/>
        <v>0</v>
      </c>
      <c r="U184" s="118"/>
      <c r="V184" s="118"/>
    </row>
    <row r="185" spans="1:22" s="1" customFormat="1" ht="72.75" customHeight="1">
      <c r="A185" s="69">
        <v>7363</v>
      </c>
      <c r="B185" s="237" t="s">
        <v>185</v>
      </c>
      <c r="C185" s="240">
        <v>70000</v>
      </c>
      <c r="D185" s="68">
        <f t="shared" si="37"/>
        <v>70000</v>
      </c>
      <c r="E185" s="216"/>
      <c r="F185" s="33"/>
      <c r="G185" s="33"/>
      <c r="H185" s="216"/>
      <c r="I185" s="216"/>
      <c r="J185" s="216"/>
      <c r="K185" s="216"/>
      <c r="L185" s="216"/>
      <c r="M185" s="33"/>
      <c r="N185" s="33"/>
      <c r="O185" s="33"/>
      <c r="P185" s="33"/>
      <c r="Q185" s="33"/>
      <c r="R185" s="240">
        <v>70000</v>
      </c>
      <c r="S185" s="217"/>
      <c r="T185" s="68">
        <f t="shared" si="38"/>
        <v>0</v>
      </c>
      <c r="U185" s="118"/>
      <c r="V185" s="118"/>
    </row>
    <row r="186" spans="1:22" s="1" customFormat="1" ht="117.75" customHeight="1">
      <c r="A186" s="69">
        <v>7363</v>
      </c>
      <c r="B186" s="237" t="s">
        <v>186</v>
      </c>
      <c r="C186" s="240">
        <v>100000</v>
      </c>
      <c r="D186" s="68">
        <f t="shared" si="37"/>
        <v>100000</v>
      </c>
      <c r="E186" s="216"/>
      <c r="F186" s="33"/>
      <c r="G186" s="33"/>
      <c r="H186" s="216"/>
      <c r="I186" s="216"/>
      <c r="J186" s="216"/>
      <c r="K186" s="216"/>
      <c r="L186" s="216"/>
      <c r="M186" s="33"/>
      <c r="N186" s="33"/>
      <c r="O186" s="33"/>
      <c r="P186" s="33"/>
      <c r="Q186" s="33"/>
      <c r="R186" s="240">
        <v>100000</v>
      </c>
      <c r="S186" s="217"/>
      <c r="T186" s="68">
        <f t="shared" si="38"/>
        <v>0</v>
      </c>
      <c r="U186" s="118"/>
      <c r="V186" s="118"/>
    </row>
    <row r="187" spans="1:22" s="1" customFormat="1" ht="101.25" customHeight="1">
      <c r="A187" s="69">
        <v>7363</v>
      </c>
      <c r="B187" s="237" t="s">
        <v>187</v>
      </c>
      <c r="C187" s="240">
        <v>200000</v>
      </c>
      <c r="D187" s="68">
        <f t="shared" si="37"/>
        <v>200000</v>
      </c>
      <c r="E187" s="216"/>
      <c r="F187" s="33"/>
      <c r="G187" s="33"/>
      <c r="H187" s="216"/>
      <c r="I187" s="216"/>
      <c r="J187" s="216"/>
      <c r="K187" s="216"/>
      <c r="L187" s="216"/>
      <c r="M187" s="33"/>
      <c r="N187" s="33"/>
      <c r="O187" s="33"/>
      <c r="P187" s="33"/>
      <c r="Q187" s="33"/>
      <c r="R187" s="240">
        <v>200000</v>
      </c>
      <c r="S187" s="217"/>
      <c r="T187" s="68">
        <f t="shared" si="38"/>
        <v>0</v>
      </c>
      <c r="U187" s="118"/>
      <c r="V187" s="118"/>
    </row>
    <row r="188" spans="1:22" s="1" customFormat="1" ht="120.75" customHeight="1">
      <c r="A188" s="69">
        <v>7363</v>
      </c>
      <c r="B188" s="237" t="s">
        <v>188</v>
      </c>
      <c r="C188" s="240">
        <f>80000+50000</f>
        <v>130000</v>
      </c>
      <c r="D188" s="68">
        <f t="shared" si="37"/>
        <v>130000</v>
      </c>
      <c r="E188" s="216">
        <v>50000</v>
      </c>
      <c r="F188" s="33"/>
      <c r="G188" s="33"/>
      <c r="H188" s="216"/>
      <c r="I188" s="216"/>
      <c r="J188" s="216"/>
      <c r="K188" s="216"/>
      <c r="L188" s="216"/>
      <c r="M188" s="33"/>
      <c r="N188" s="33"/>
      <c r="O188" s="33"/>
      <c r="P188" s="33"/>
      <c r="Q188" s="33"/>
      <c r="R188" s="240">
        <v>80000</v>
      </c>
      <c r="S188" s="217"/>
      <c r="T188" s="68">
        <f t="shared" si="38"/>
        <v>0</v>
      </c>
      <c r="U188" s="118"/>
      <c r="V188" s="118"/>
    </row>
    <row r="189" spans="1:22" s="47" customFormat="1" ht="24" customHeight="1">
      <c r="A189" s="25">
        <v>20000</v>
      </c>
      <c r="B189" s="26" t="s">
        <v>2</v>
      </c>
      <c r="C189" s="34">
        <f aca="true" t="shared" si="40" ref="C189:S189">C190+C192</f>
        <v>219260</v>
      </c>
      <c r="D189" s="34">
        <f t="shared" si="40"/>
        <v>219260</v>
      </c>
      <c r="E189" s="34">
        <f t="shared" si="40"/>
        <v>160000</v>
      </c>
      <c r="F189" s="34">
        <f t="shared" si="40"/>
        <v>0</v>
      </c>
      <c r="G189" s="34">
        <f t="shared" si="40"/>
        <v>0</v>
      </c>
      <c r="H189" s="88">
        <f t="shared" si="40"/>
        <v>0</v>
      </c>
      <c r="I189" s="88">
        <f t="shared" si="40"/>
        <v>0</v>
      </c>
      <c r="J189" s="88">
        <f t="shared" si="40"/>
        <v>0</v>
      </c>
      <c r="K189" s="88">
        <f t="shared" si="40"/>
        <v>0</v>
      </c>
      <c r="L189" s="88">
        <f t="shared" si="40"/>
        <v>0</v>
      </c>
      <c r="M189" s="80">
        <f t="shared" si="40"/>
        <v>27260</v>
      </c>
      <c r="N189" s="34">
        <f t="shared" si="40"/>
        <v>19000</v>
      </c>
      <c r="O189" s="34">
        <f t="shared" si="40"/>
        <v>13000</v>
      </c>
      <c r="P189" s="34">
        <f t="shared" si="40"/>
        <v>0</v>
      </c>
      <c r="Q189" s="34">
        <f t="shared" si="40"/>
        <v>0</v>
      </c>
      <c r="R189" s="34">
        <f t="shared" si="40"/>
        <v>0</v>
      </c>
      <c r="S189" s="34">
        <f t="shared" si="40"/>
        <v>59260</v>
      </c>
      <c r="T189" s="49">
        <f t="shared" si="38"/>
        <v>0</v>
      </c>
      <c r="U189" s="34">
        <f>U190+U192</f>
        <v>0</v>
      </c>
      <c r="V189" s="34">
        <f>V190+V192</f>
        <v>0</v>
      </c>
    </row>
    <row r="190" spans="1:22" s="47" customFormat="1" ht="20.25" customHeight="1">
      <c r="A190" s="24">
        <v>2010</v>
      </c>
      <c r="B190" s="26" t="s">
        <v>9</v>
      </c>
      <c r="C190" s="34">
        <f>SUM(C191:C191)</f>
        <v>160000</v>
      </c>
      <c r="D190" s="49">
        <f>E190+F190+G190+M190+N190+R190+J190</f>
        <v>160000</v>
      </c>
      <c r="E190" s="34">
        <f aca="true" t="shared" si="41" ref="E190:K190">SUM(E191:E191)</f>
        <v>160000</v>
      </c>
      <c r="F190" s="34">
        <f t="shared" si="41"/>
        <v>0</v>
      </c>
      <c r="G190" s="34">
        <f t="shared" si="41"/>
        <v>0</v>
      </c>
      <c r="H190" s="88">
        <f t="shared" si="41"/>
        <v>0</v>
      </c>
      <c r="I190" s="88">
        <f t="shared" si="41"/>
        <v>0</v>
      </c>
      <c r="J190" s="88">
        <f t="shared" si="41"/>
        <v>0</v>
      </c>
      <c r="K190" s="88">
        <f t="shared" si="41"/>
        <v>0</v>
      </c>
      <c r="L190" s="88"/>
      <c r="M190" s="34">
        <f aca="true" t="shared" si="42" ref="M190:S190">SUM(M191:M191)</f>
        <v>0</v>
      </c>
      <c r="N190" s="34">
        <f t="shared" si="42"/>
        <v>0</v>
      </c>
      <c r="O190" s="34">
        <f t="shared" si="42"/>
        <v>0</v>
      </c>
      <c r="P190" s="34">
        <f t="shared" si="42"/>
        <v>0</v>
      </c>
      <c r="Q190" s="34">
        <f t="shared" si="42"/>
        <v>0</v>
      </c>
      <c r="R190" s="34">
        <f t="shared" si="42"/>
        <v>0</v>
      </c>
      <c r="S190" s="34">
        <f t="shared" si="42"/>
        <v>0</v>
      </c>
      <c r="T190" s="49">
        <f t="shared" si="38"/>
        <v>0</v>
      </c>
      <c r="U190" s="126"/>
      <c r="V190" s="126"/>
    </row>
    <row r="191" spans="1:22" s="46" customFormat="1" ht="28.5" customHeight="1">
      <c r="A191" s="69">
        <v>2010</v>
      </c>
      <c r="B191" s="98" t="s">
        <v>161</v>
      </c>
      <c r="C191" s="35">
        <v>160000</v>
      </c>
      <c r="D191" s="68">
        <f>E191+F191+G191+M191+N191+R191+J191</f>
        <v>160000</v>
      </c>
      <c r="E191" s="35">
        <v>160000</v>
      </c>
      <c r="F191" s="35"/>
      <c r="G191" s="35"/>
      <c r="H191" s="87">
        <f>SUM(I191:J191)</f>
        <v>0</v>
      </c>
      <c r="I191" s="35"/>
      <c r="J191" s="35"/>
      <c r="K191" s="35"/>
      <c r="L191" s="35"/>
      <c r="M191" s="80"/>
      <c r="N191" s="35"/>
      <c r="O191" s="35"/>
      <c r="P191" s="35"/>
      <c r="Q191" s="35"/>
      <c r="R191" s="35"/>
      <c r="S191" s="35"/>
      <c r="T191" s="68">
        <f t="shared" si="38"/>
        <v>0</v>
      </c>
      <c r="U191" s="115"/>
      <c r="V191" s="115"/>
    </row>
    <row r="192" spans="1:22" s="72" customFormat="1" ht="24.75" customHeight="1">
      <c r="A192" s="51"/>
      <c r="B192" s="73" t="s">
        <v>10</v>
      </c>
      <c r="C192" s="66">
        <f>SUM(C193:C196)</f>
        <v>59260</v>
      </c>
      <c r="D192" s="66">
        <f aca="true" t="shared" si="43" ref="D192:S192">SUM(D193:D196)</f>
        <v>59260</v>
      </c>
      <c r="E192" s="66">
        <f t="shared" si="43"/>
        <v>0</v>
      </c>
      <c r="F192" s="66">
        <f t="shared" si="43"/>
        <v>0</v>
      </c>
      <c r="G192" s="66">
        <f t="shared" si="43"/>
        <v>0</v>
      </c>
      <c r="H192" s="66">
        <f t="shared" si="43"/>
        <v>0</v>
      </c>
      <c r="I192" s="66">
        <f t="shared" si="43"/>
        <v>0</v>
      </c>
      <c r="J192" s="66">
        <f t="shared" si="43"/>
        <v>0</v>
      </c>
      <c r="K192" s="66">
        <f t="shared" si="43"/>
        <v>0</v>
      </c>
      <c r="L192" s="66">
        <f t="shared" si="43"/>
        <v>0</v>
      </c>
      <c r="M192" s="66">
        <f t="shared" si="43"/>
        <v>27260</v>
      </c>
      <c r="N192" s="66">
        <f t="shared" si="43"/>
        <v>19000</v>
      </c>
      <c r="O192" s="66">
        <f t="shared" si="43"/>
        <v>13000</v>
      </c>
      <c r="P192" s="66">
        <f t="shared" si="43"/>
        <v>0</v>
      </c>
      <c r="Q192" s="66">
        <f t="shared" si="43"/>
        <v>0</v>
      </c>
      <c r="R192" s="66">
        <f t="shared" si="43"/>
        <v>0</v>
      </c>
      <c r="S192" s="66">
        <f t="shared" si="43"/>
        <v>59260</v>
      </c>
      <c r="T192" s="66">
        <f>SUM(T193:T196)</f>
        <v>0</v>
      </c>
      <c r="U192" s="66">
        <f>SUM(U193:U193)</f>
        <v>0</v>
      </c>
      <c r="V192" s="66">
        <f>SUM(V193:V193)</f>
        <v>0</v>
      </c>
    </row>
    <row r="193" spans="1:22" s="164" customFormat="1" ht="58.5" customHeight="1">
      <c r="A193" s="148">
        <v>2111</v>
      </c>
      <c r="B193" s="165" t="s">
        <v>77</v>
      </c>
      <c r="C193" s="144">
        <v>13000</v>
      </c>
      <c r="D193" s="129">
        <f>E193+F193+G193+M193+N193+R193+J193+O193</f>
        <v>13000</v>
      </c>
      <c r="E193" s="160"/>
      <c r="F193" s="160"/>
      <c r="G193" s="160"/>
      <c r="H193" s="130"/>
      <c r="I193" s="160"/>
      <c r="J193" s="160"/>
      <c r="K193" s="160"/>
      <c r="L193" s="160"/>
      <c r="M193" s="161"/>
      <c r="N193" s="162"/>
      <c r="O193" s="162">
        <v>13000</v>
      </c>
      <c r="P193" s="162"/>
      <c r="Q193" s="162"/>
      <c r="R193" s="162"/>
      <c r="S193" s="154">
        <v>13000</v>
      </c>
      <c r="T193" s="129">
        <f aca="true" t="shared" si="44" ref="T193:T198">C193-D193</f>
        <v>0</v>
      </c>
      <c r="U193" s="163"/>
      <c r="V193" s="163"/>
    </row>
    <row r="194" spans="1:22" s="164" customFormat="1" ht="96" customHeight="1">
      <c r="A194" s="148">
        <v>2111</v>
      </c>
      <c r="B194" s="165" t="s">
        <v>133</v>
      </c>
      <c r="C194" s="144">
        <v>20000</v>
      </c>
      <c r="D194" s="129">
        <f>E194+F194+G194+M194+N194+R194+J194+O194</f>
        <v>20000</v>
      </c>
      <c r="E194" s="160"/>
      <c r="F194" s="160"/>
      <c r="G194" s="160"/>
      <c r="H194" s="130"/>
      <c r="I194" s="160"/>
      <c r="J194" s="160"/>
      <c r="K194" s="160"/>
      <c r="L194" s="160"/>
      <c r="M194" s="161">
        <v>20000</v>
      </c>
      <c r="N194" s="162"/>
      <c r="O194" s="162"/>
      <c r="P194" s="162"/>
      <c r="Q194" s="162"/>
      <c r="R194" s="162"/>
      <c r="S194" s="154">
        <v>20000</v>
      </c>
      <c r="T194" s="129">
        <f t="shared" si="44"/>
        <v>0</v>
      </c>
      <c r="U194" s="163"/>
      <c r="V194" s="163"/>
    </row>
    <row r="195" spans="1:22" s="164" customFormat="1" ht="82.5" customHeight="1">
      <c r="A195" s="148">
        <v>2111</v>
      </c>
      <c r="B195" s="165" t="s">
        <v>134</v>
      </c>
      <c r="C195" s="144">
        <v>7260</v>
      </c>
      <c r="D195" s="129">
        <f>E195+F195+G195+M195+N195+R195+J195+O195</f>
        <v>7260</v>
      </c>
      <c r="E195" s="160"/>
      <c r="F195" s="160"/>
      <c r="G195" s="160"/>
      <c r="H195" s="130"/>
      <c r="I195" s="160"/>
      <c r="J195" s="160"/>
      <c r="K195" s="160"/>
      <c r="L195" s="160"/>
      <c r="M195" s="161">
        <v>7260</v>
      </c>
      <c r="N195" s="162"/>
      <c r="O195" s="162"/>
      <c r="P195" s="162"/>
      <c r="Q195" s="162"/>
      <c r="R195" s="162"/>
      <c r="S195" s="154">
        <v>7260</v>
      </c>
      <c r="T195" s="129">
        <f t="shared" si="44"/>
        <v>0</v>
      </c>
      <c r="U195" s="163"/>
      <c r="V195" s="163"/>
    </row>
    <row r="196" spans="1:22" s="164" customFormat="1" ht="106.5" customHeight="1">
      <c r="A196" s="148">
        <v>2111</v>
      </c>
      <c r="B196" s="165" t="s">
        <v>135</v>
      </c>
      <c r="C196" s="144">
        <v>19000</v>
      </c>
      <c r="D196" s="129">
        <f>E196+F196+G196+M196+N196+R196+J196+O196</f>
        <v>19000</v>
      </c>
      <c r="E196" s="160"/>
      <c r="F196" s="160"/>
      <c r="G196" s="160"/>
      <c r="H196" s="130"/>
      <c r="I196" s="160"/>
      <c r="J196" s="160"/>
      <c r="K196" s="160"/>
      <c r="L196" s="160"/>
      <c r="M196" s="161"/>
      <c r="N196" s="162">
        <v>19000</v>
      </c>
      <c r="O196" s="162"/>
      <c r="P196" s="162"/>
      <c r="Q196" s="162"/>
      <c r="R196" s="162"/>
      <c r="S196" s="154">
        <v>19000</v>
      </c>
      <c r="T196" s="129">
        <f t="shared" si="44"/>
        <v>0</v>
      </c>
      <c r="U196" s="163"/>
      <c r="V196" s="163"/>
    </row>
    <row r="197" spans="1:22" s="6" customFormat="1" ht="78" customHeight="1">
      <c r="A197" s="4">
        <v>7363</v>
      </c>
      <c r="B197" s="237" t="s">
        <v>201</v>
      </c>
      <c r="C197" s="240">
        <v>60000</v>
      </c>
      <c r="D197" s="68">
        <f>E197+F197+G197+M197+N197+R197+J197+O197</f>
        <v>60000</v>
      </c>
      <c r="E197" s="241"/>
      <c r="F197" s="241"/>
      <c r="G197" s="241"/>
      <c r="H197" s="59"/>
      <c r="I197" s="241"/>
      <c r="J197" s="241"/>
      <c r="K197" s="241"/>
      <c r="L197" s="241"/>
      <c r="M197" s="242"/>
      <c r="N197" s="243"/>
      <c r="O197" s="243"/>
      <c r="P197" s="243"/>
      <c r="Q197" s="243"/>
      <c r="R197" s="243">
        <v>60000</v>
      </c>
      <c r="S197" s="104"/>
      <c r="T197" s="68">
        <f t="shared" si="44"/>
        <v>0</v>
      </c>
      <c r="U197" s="119"/>
      <c r="V197" s="119"/>
    </row>
    <row r="198" spans="1:22" s="164" customFormat="1" ht="58.5" customHeight="1">
      <c r="A198" s="148">
        <v>8220</v>
      </c>
      <c r="B198" s="227" t="s">
        <v>148</v>
      </c>
      <c r="C198" s="144">
        <v>36310</v>
      </c>
      <c r="D198" s="129">
        <f>E198+F198+G198+M198+N198+R198+J198+O198+L198</f>
        <v>36310</v>
      </c>
      <c r="E198" s="160"/>
      <c r="F198" s="160"/>
      <c r="G198" s="160"/>
      <c r="H198" s="130"/>
      <c r="I198" s="160"/>
      <c r="J198" s="160"/>
      <c r="K198" s="160"/>
      <c r="L198" s="160">
        <v>36310</v>
      </c>
      <c r="M198" s="161"/>
      <c r="N198" s="162"/>
      <c r="O198" s="162"/>
      <c r="P198" s="162"/>
      <c r="Q198" s="162"/>
      <c r="R198" s="162"/>
      <c r="S198" s="154">
        <v>36310</v>
      </c>
      <c r="T198" s="129">
        <f t="shared" si="44"/>
        <v>0</v>
      </c>
      <c r="U198" s="163"/>
      <c r="V198" s="163"/>
    </row>
    <row r="199" spans="1:22" s="50" customFormat="1" ht="27.75" customHeight="1">
      <c r="A199" s="43"/>
      <c r="B199" s="48" t="s">
        <v>6</v>
      </c>
      <c r="C199" s="49">
        <f aca="true" t="shared" si="45" ref="C199:T199">C162+C189+C159+C198+C197</f>
        <v>8291611.11</v>
      </c>
      <c r="D199" s="49">
        <f t="shared" si="45"/>
        <v>6654111.11</v>
      </c>
      <c r="E199" s="49">
        <f t="shared" si="45"/>
        <v>398900</v>
      </c>
      <c r="F199" s="49">
        <f t="shared" si="45"/>
        <v>0</v>
      </c>
      <c r="G199" s="49">
        <f t="shared" si="45"/>
        <v>0</v>
      </c>
      <c r="H199" s="49">
        <f t="shared" si="45"/>
        <v>0</v>
      </c>
      <c r="I199" s="49">
        <f t="shared" si="45"/>
        <v>0</v>
      </c>
      <c r="J199" s="49">
        <f t="shared" si="45"/>
        <v>0</v>
      </c>
      <c r="K199" s="49">
        <f t="shared" si="45"/>
        <v>1212776.1099999999</v>
      </c>
      <c r="L199" s="49">
        <f t="shared" si="45"/>
        <v>177510</v>
      </c>
      <c r="M199" s="49">
        <f t="shared" si="45"/>
        <v>454160</v>
      </c>
      <c r="N199" s="49">
        <f t="shared" si="45"/>
        <v>19000</v>
      </c>
      <c r="O199" s="49">
        <f t="shared" si="45"/>
        <v>13000</v>
      </c>
      <c r="P199" s="49">
        <f t="shared" si="45"/>
        <v>0</v>
      </c>
      <c r="Q199" s="49">
        <f t="shared" si="45"/>
        <v>0</v>
      </c>
      <c r="R199" s="49">
        <f t="shared" si="45"/>
        <v>4519965</v>
      </c>
      <c r="S199" s="49">
        <f t="shared" si="45"/>
        <v>4397438</v>
      </c>
      <c r="T199" s="49">
        <f t="shared" si="45"/>
        <v>250000</v>
      </c>
      <c r="U199" s="49">
        <f>U162+U189+U159+U198</f>
        <v>0</v>
      </c>
      <c r="V199" s="49">
        <f>V162+V189+V159+V198</f>
        <v>0</v>
      </c>
    </row>
    <row r="200" spans="1:22" s="53" customFormat="1" ht="27.75" customHeight="1">
      <c r="A200" s="51"/>
      <c r="B200" s="52" t="s">
        <v>8</v>
      </c>
      <c r="C200" s="32">
        <f aca="true" t="shared" si="46" ref="C200:V200">C199+C157</f>
        <v>49614690.13</v>
      </c>
      <c r="D200" s="49">
        <f t="shared" si="46"/>
        <v>39574570.370000005</v>
      </c>
      <c r="E200" s="49">
        <f t="shared" si="46"/>
        <v>4986000</v>
      </c>
      <c r="F200" s="49">
        <f t="shared" si="46"/>
        <v>0</v>
      </c>
      <c r="G200" s="49">
        <f t="shared" si="46"/>
        <v>0</v>
      </c>
      <c r="H200" s="85">
        <f t="shared" si="46"/>
        <v>2645200</v>
      </c>
      <c r="I200" s="85">
        <f t="shared" si="46"/>
        <v>2466200</v>
      </c>
      <c r="J200" s="75">
        <f t="shared" si="46"/>
        <v>179000</v>
      </c>
      <c r="K200" s="49">
        <f t="shared" si="46"/>
        <v>1212776.1099999999</v>
      </c>
      <c r="L200" s="49">
        <f t="shared" si="46"/>
        <v>0</v>
      </c>
      <c r="M200" s="261">
        <f t="shared" si="46"/>
        <v>2788123.0300000003</v>
      </c>
      <c r="N200" s="49">
        <f t="shared" si="46"/>
        <v>18650.23000000001</v>
      </c>
      <c r="O200" s="49">
        <f t="shared" si="46"/>
        <v>541880</v>
      </c>
      <c r="P200" s="85">
        <f t="shared" si="46"/>
        <v>43230500</v>
      </c>
      <c r="Q200" s="85">
        <f t="shared" si="46"/>
        <v>5909000</v>
      </c>
      <c r="R200" s="85">
        <f t="shared" si="46"/>
        <v>-21757559</v>
      </c>
      <c r="S200" s="32">
        <f t="shared" si="46"/>
        <v>17845964.91</v>
      </c>
      <c r="T200" s="86">
        <f t="shared" si="46"/>
        <v>8752416.79</v>
      </c>
      <c r="U200" s="32" t="e">
        <f t="shared" si="46"/>
        <v>#REF!</v>
      </c>
      <c r="V200" s="32" t="e">
        <f t="shared" si="46"/>
        <v>#REF!</v>
      </c>
    </row>
    <row r="201" spans="1:22" s="53" customFormat="1" ht="27.75" customHeight="1">
      <c r="A201" s="51"/>
      <c r="B201" s="52" t="s">
        <v>217</v>
      </c>
      <c r="C201" s="32"/>
      <c r="D201" s="49"/>
      <c r="E201" s="49"/>
      <c r="F201" s="49"/>
      <c r="G201" s="49"/>
      <c r="H201" s="85"/>
      <c r="I201" s="85"/>
      <c r="J201" s="75"/>
      <c r="K201" s="49"/>
      <c r="L201" s="49"/>
      <c r="M201" s="261"/>
      <c r="N201" s="49"/>
      <c r="O201" s="49"/>
      <c r="P201" s="85"/>
      <c r="Q201" s="85"/>
      <c r="R201" s="85"/>
      <c r="S201" s="32"/>
      <c r="T201" s="86"/>
      <c r="U201" s="250"/>
      <c r="V201" s="250"/>
    </row>
    <row r="202" spans="1:22" s="53" customFormat="1" ht="101.25" customHeight="1">
      <c r="A202" s="51">
        <v>8831</v>
      </c>
      <c r="B202" s="48" t="s">
        <v>218</v>
      </c>
      <c r="C202" s="32">
        <v>35000</v>
      </c>
      <c r="D202" s="289">
        <f>E202+F202+G202+M202+N202+R202+J202+O202</f>
        <v>35000</v>
      </c>
      <c r="E202" s="49"/>
      <c r="F202" s="49"/>
      <c r="G202" s="49"/>
      <c r="H202" s="85"/>
      <c r="I202" s="85"/>
      <c r="J202" s="75"/>
      <c r="K202" s="49"/>
      <c r="L202" s="49"/>
      <c r="M202" s="261">
        <v>35000</v>
      </c>
      <c r="N202" s="49"/>
      <c r="O202" s="49"/>
      <c r="P202" s="85"/>
      <c r="Q202" s="85"/>
      <c r="R202" s="85"/>
      <c r="S202" s="32">
        <v>35000</v>
      </c>
      <c r="T202" s="289">
        <f>C202-D202</f>
        <v>0</v>
      </c>
      <c r="U202" s="250"/>
      <c r="V202" s="250"/>
    </row>
    <row r="203" spans="1:22" s="53" customFormat="1" ht="27.75" customHeight="1">
      <c r="A203" s="248"/>
      <c r="B203" s="249"/>
      <c r="C203" s="250"/>
      <c r="D203" s="251"/>
      <c r="E203" s="251">
        <f>4986000-E200</f>
        <v>0</v>
      </c>
      <c r="F203" s="251"/>
      <c r="G203" s="251"/>
      <c r="H203" s="252"/>
      <c r="I203" s="252"/>
      <c r="J203" s="253"/>
      <c r="K203" s="251"/>
      <c r="L203" s="251"/>
      <c r="M203" s="254"/>
      <c r="N203" s="251"/>
      <c r="O203" s="251"/>
      <c r="P203" s="252"/>
      <c r="Q203" s="252"/>
      <c r="R203" s="252"/>
      <c r="S203" s="250"/>
      <c r="T203" s="255"/>
      <c r="U203" s="250"/>
      <c r="V203" s="250"/>
    </row>
    <row r="204" spans="1:20" s="36" customFormat="1" ht="36.75" customHeight="1">
      <c r="A204" s="39"/>
      <c r="B204" s="94"/>
      <c r="C204" s="219"/>
      <c r="D204" s="38"/>
      <c r="E204" s="222"/>
      <c r="F204" s="38"/>
      <c r="G204" s="38"/>
      <c r="H204" s="223"/>
      <c r="I204" s="38"/>
      <c r="J204" s="38"/>
      <c r="K204" s="223"/>
      <c r="L204" s="38"/>
      <c r="M204" s="91"/>
      <c r="N204" s="37"/>
      <c r="O204" s="37"/>
      <c r="P204" s="37"/>
      <c r="Q204" s="37"/>
      <c r="R204" s="37"/>
      <c r="S204" s="37"/>
      <c r="T204" s="37"/>
    </row>
    <row r="205" spans="1:20" s="9" customFormat="1" ht="26.25" customHeight="1">
      <c r="A205" s="10"/>
      <c r="B205" s="90"/>
      <c r="C205" s="220"/>
      <c r="D205" s="31"/>
      <c r="E205" s="18"/>
      <c r="F205" s="18"/>
      <c r="G205" s="18"/>
      <c r="H205" s="18"/>
      <c r="I205" s="18"/>
      <c r="J205" s="18"/>
      <c r="K205" s="18"/>
      <c r="L205" s="18"/>
      <c r="M205" s="92"/>
      <c r="N205" s="19"/>
      <c r="O205" s="19"/>
      <c r="P205" s="19"/>
      <c r="Q205" s="19"/>
      <c r="R205" s="19"/>
      <c r="S205" s="19"/>
      <c r="T205" s="64"/>
    </row>
    <row r="206" spans="1:20" s="9" customFormat="1" ht="39" customHeight="1">
      <c r="A206" s="11"/>
      <c r="B206" s="11"/>
      <c r="C206" s="221"/>
      <c r="D206" s="27"/>
      <c r="E206" s="262"/>
      <c r="F206" s="12"/>
      <c r="G206" s="12"/>
      <c r="H206" s="12"/>
      <c r="I206" s="12"/>
      <c r="J206" s="12"/>
      <c r="K206" s="12"/>
      <c r="L206" s="12"/>
      <c r="M206" s="92"/>
      <c r="N206" s="19"/>
      <c r="O206" s="19"/>
      <c r="P206" s="19"/>
      <c r="Q206" s="19"/>
      <c r="R206" s="19"/>
      <c r="S206" s="19"/>
      <c r="T206" s="65"/>
    </row>
    <row r="207" spans="1:20" s="9" customFormat="1" ht="31.5" customHeight="1">
      <c r="A207" s="11"/>
      <c r="B207" s="13"/>
      <c r="C207" s="28"/>
      <c r="D207" s="27"/>
      <c r="E207" s="12"/>
      <c r="F207" s="12"/>
      <c r="G207" s="12"/>
      <c r="H207" s="12"/>
      <c r="I207" s="12"/>
      <c r="J207" s="12"/>
      <c r="K207" s="12"/>
      <c r="L207" s="12"/>
      <c r="M207" s="272"/>
      <c r="N207" s="272"/>
      <c r="O207" s="272"/>
      <c r="P207" s="272"/>
      <c r="Q207" s="272"/>
      <c r="R207" s="272"/>
      <c r="S207" s="272"/>
      <c r="T207" s="20"/>
    </row>
    <row r="208" spans="1:20" s="16" customFormat="1" ht="20.25">
      <c r="A208" s="14"/>
      <c r="B208" s="14"/>
      <c r="C208" s="29"/>
      <c r="D208" s="29"/>
      <c r="E208" s="15"/>
      <c r="F208" s="15"/>
      <c r="G208" s="15"/>
      <c r="H208" s="15"/>
      <c r="I208" s="15"/>
      <c r="J208" s="15"/>
      <c r="K208" s="15"/>
      <c r="L208" s="15"/>
      <c r="M208" s="76"/>
      <c r="N208" s="15"/>
      <c r="O208" s="15"/>
      <c r="P208" s="15"/>
      <c r="Q208" s="15"/>
      <c r="R208" s="15"/>
      <c r="S208" s="15"/>
      <c r="T208" s="21"/>
    </row>
    <row r="209" spans="7:12" ht="20.25">
      <c r="G209" s="22"/>
      <c r="H209" s="22"/>
      <c r="I209" s="22"/>
      <c r="J209" s="22"/>
      <c r="K209" s="22"/>
      <c r="L209" s="22"/>
    </row>
  </sheetData>
  <sheetProtection/>
  <mergeCells count="30">
    <mergeCell ref="L8:L10"/>
    <mergeCell ref="V9:V10"/>
    <mergeCell ref="T8:T10"/>
    <mergeCell ref="O8:O10"/>
    <mergeCell ref="P8:P10"/>
    <mergeCell ref="Q8:Q10"/>
    <mergeCell ref="N8:N10"/>
    <mergeCell ref="R8:R10"/>
    <mergeCell ref="S8:S10"/>
    <mergeCell ref="M8:M10"/>
    <mergeCell ref="H8:J8"/>
    <mergeCell ref="H9:J9"/>
    <mergeCell ref="M207:S207"/>
    <mergeCell ref="A12:T12"/>
    <mergeCell ref="E8:E10"/>
    <mergeCell ref="A8:A10"/>
    <mergeCell ref="B8:B10"/>
    <mergeCell ref="A158:V158"/>
    <mergeCell ref="U8:V8"/>
    <mergeCell ref="U9:U10"/>
    <mergeCell ref="K8:K10"/>
    <mergeCell ref="A4:N4"/>
    <mergeCell ref="A6:J6"/>
    <mergeCell ref="A1:J2"/>
    <mergeCell ref="A5:D5"/>
    <mergeCell ref="A3:J3"/>
    <mergeCell ref="F8:F9"/>
    <mergeCell ref="A7:T7"/>
    <mergeCell ref="C8:C10"/>
    <mergeCell ref="D8:D10"/>
  </mergeCells>
  <printOptions/>
  <pageMargins left="0.25" right="0.15" top="0.35433070866141736" bottom="0.2755905511811024" header="0.31496062992125984" footer="0.2755905511811024"/>
  <pageSetup horizontalDpi="600" verticalDpi="600" orientation="landscape" paperSize="9" scale="35" r:id="rId1"/>
  <headerFooter alignWithMargins="0">
    <oddFooter>&amp;R&amp;P</oddFooter>
  </headerFooter>
  <rowBreaks count="7" manualBreakCount="7">
    <brk id="35" max="19" man="1"/>
    <brk id="58" max="19" man="1"/>
    <brk id="79" max="19" man="1"/>
    <brk id="95" max="19" man="1"/>
    <brk id="118" max="19" man="1"/>
    <brk id="139" max="19" man="1"/>
    <brk id="15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u252108</cp:lastModifiedBy>
  <cp:lastPrinted>2019-08-01T06:29:00Z</cp:lastPrinted>
  <dcterms:created xsi:type="dcterms:W3CDTF">2012-08-02T06:19:34Z</dcterms:created>
  <dcterms:modified xsi:type="dcterms:W3CDTF">2019-08-01T07:07:16Z</dcterms:modified>
  <cp:category/>
  <cp:version/>
  <cp:contentType/>
  <cp:contentStatus/>
</cp:coreProperties>
</file>